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9120" activeTab="2"/>
  </bookViews>
  <sheets>
    <sheet name="Wagen" sheetId="1" r:id="rId1"/>
    <sheet name="Frachtzettel" sheetId="2" r:id="rId2"/>
    <sheet name="Anschließer" sheetId="3" r:id="rId3"/>
  </sheets>
  <definedNames>
    <definedName name="_xlnm.Print_Area" localSheetId="2">'Anschließer'!$C$16:$J$65</definedName>
    <definedName name="_xlnm.Print_Area" localSheetId="1">'Frachtzettel'!$C$6:$F$25</definedName>
    <definedName name="_xlnm.Print_Area" localSheetId="0">'Wagen'!$B$5:$H$29</definedName>
  </definedNames>
  <calcPr fullCalcOnLoad="1"/>
</workbook>
</file>

<file path=xl/sharedStrings.xml><?xml version="1.0" encoding="utf-8"?>
<sst xmlns="http://schemas.openxmlformats.org/spreadsheetml/2006/main" count="325" uniqueCount="160">
  <si>
    <t>Nr.</t>
  </si>
  <si>
    <t>Anschließer</t>
  </si>
  <si>
    <t>Ladung</t>
  </si>
  <si>
    <t>Wagen</t>
  </si>
  <si>
    <t>Ladestelle</t>
  </si>
  <si>
    <t>Gattung</t>
  </si>
  <si>
    <t>Auto Stark</t>
  </si>
  <si>
    <t>Schrott</t>
  </si>
  <si>
    <t>Freiladegleis</t>
  </si>
  <si>
    <t>O</t>
  </si>
  <si>
    <t>Stahlblech</t>
  </si>
  <si>
    <t>Kran</t>
  </si>
  <si>
    <t>S</t>
  </si>
  <si>
    <t>Stahlträger u. -rohre</t>
  </si>
  <si>
    <t>Zuliefergroßteile</t>
  </si>
  <si>
    <t>Maschinen</t>
  </si>
  <si>
    <t>Schrauben u.ä. Kleinteile</t>
  </si>
  <si>
    <t>Lagerhalle</t>
  </si>
  <si>
    <t>G</t>
  </si>
  <si>
    <t>Kleingeräte</t>
  </si>
  <si>
    <t>Rampe</t>
  </si>
  <si>
    <t>Kabel</t>
  </si>
  <si>
    <t>R</t>
  </si>
  <si>
    <t>Verpackungsholz</t>
  </si>
  <si>
    <t>Deutsche See</t>
  </si>
  <si>
    <t>Metzeler</t>
  </si>
  <si>
    <t>Butandiol</t>
  </si>
  <si>
    <t>Z</t>
  </si>
  <si>
    <t>Desmodur</t>
  </si>
  <si>
    <t>Sonstige</t>
  </si>
  <si>
    <t>Stückgut</t>
  </si>
  <si>
    <t>versch.</t>
  </si>
  <si>
    <t>Förderbandanlage Gleis 4</t>
  </si>
  <si>
    <t>Wagen Versand</t>
  </si>
  <si>
    <t>Wagen Empfang</t>
  </si>
  <si>
    <t>Abfüllanlage          Gleis 8</t>
  </si>
  <si>
    <t>Abfüllanlage                  Gleis 8</t>
  </si>
  <si>
    <t>Abfüllanlage         Gleis 8</t>
  </si>
  <si>
    <t>g</t>
  </si>
  <si>
    <t>G- Wagen</t>
  </si>
  <si>
    <t>Versand</t>
  </si>
  <si>
    <t>Empfang</t>
  </si>
  <si>
    <t>Wg/Tag</t>
  </si>
  <si>
    <t>S- Wagen</t>
  </si>
  <si>
    <t>R- Wagen</t>
  </si>
  <si>
    <t>O- Wagen</t>
  </si>
  <si>
    <t>G- Wg</t>
  </si>
  <si>
    <t xml:space="preserve"> Emp</t>
  </si>
  <si>
    <t>G-Wg</t>
  </si>
  <si>
    <t>Vers</t>
  </si>
  <si>
    <t>S- Wg</t>
  </si>
  <si>
    <t>S-Wg</t>
  </si>
  <si>
    <t>R- Wg</t>
  </si>
  <si>
    <t>R-Wg</t>
  </si>
  <si>
    <t>O- Wg</t>
  </si>
  <si>
    <t>O-Wg</t>
  </si>
  <si>
    <t>Z- Wg</t>
  </si>
  <si>
    <t>Z-Wg</t>
  </si>
  <si>
    <t>Z- Wagen</t>
  </si>
  <si>
    <t>Sonstige Wagen</t>
  </si>
  <si>
    <t>leerWg</t>
  </si>
  <si>
    <t>s</t>
  </si>
  <si>
    <t>r</t>
  </si>
  <si>
    <t>o</t>
  </si>
  <si>
    <t>z</t>
  </si>
  <si>
    <t>sum</t>
  </si>
  <si>
    <t>Zu- und Abgefürte Wagen am Tag</t>
  </si>
  <si>
    <t>Summe</t>
  </si>
  <si>
    <t>Leere Wagen</t>
  </si>
  <si>
    <t>Beladene Wagen</t>
  </si>
  <si>
    <t>Anteil</t>
  </si>
  <si>
    <t>Gesamt</t>
  </si>
  <si>
    <t>Gesamtsumme bereinigt</t>
  </si>
  <si>
    <t>Gesammtsumme unbereinigt</t>
  </si>
  <si>
    <t xml:space="preserve">G- Wagen </t>
  </si>
  <si>
    <t>Leer-Wagen bedarf</t>
  </si>
  <si>
    <t>Leer-Wg überschuss</t>
  </si>
  <si>
    <t>Sonstige-Wg</t>
  </si>
  <si>
    <t xml:space="preserve">Apparatebau Ponndorf </t>
  </si>
  <si>
    <t>Halle und Freiladegleis</t>
  </si>
  <si>
    <t>Hexamethylendiisocyanat</t>
  </si>
  <si>
    <t>Wg/Wo</t>
  </si>
  <si>
    <t>Leer Wagen berechnung</t>
  </si>
  <si>
    <t>Anzahl der jeweiligen Wagengattung</t>
  </si>
  <si>
    <t>Prüfung Eingabe</t>
  </si>
  <si>
    <t>Zufalls Wagenmengen</t>
  </si>
  <si>
    <t>Berechnungen nicht löschen!!!!!</t>
  </si>
  <si>
    <t>Warenumschlag</t>
  </si>
  <si>
    <t>entspricht</t>
  </si>
  <si>
    <t xml:space="preserve">Wiederbeladene Wagen </t>
  </si>
  <si>
    <t>PU-Weichschaumprodukte verschiedene Formen</t>
  </si>
  <si>
    <t>Monatsumsatz Metzeler, Werk Wega</t>
  </si>
  <si>
    <t>Zug</t>
  </si>
  <si>
    <t>von</t>
  </si>
  <si>
    <t>Anzahl</t>
  </si>
  <si>
    <t>FAK</t>
  </si>
  <si>
    <t>Empfänger</t>
  </si>
  <si>
    <t>Ng 8781</t>
  </si>
  <si>
    <t>Ng 8783</t>
  </si>
  <si>
    <t>Ng 8782</t>
  </si>
  <si>
    <t>SIE</t>
  </si>
  <si>
    <t>Ng 8784</t>
  </si>
  <si>
    <t>G/H</t>
  </si>
  <si>
    <t>Gleis</t>
  </si>
  <si>
    <t>3a</t>
  </si>
  <si>
    <t>Bemerkung</t>
  </si>
  <si>
    <r>
      <t xml:space="preserve">PU-Weichschaumprodukte </t>
    </r>
    <r>
      <rPr>
        <sz val="10"/>
        <rFont val="Times New Roman"/>
        <family val="1"/>
      </rPr>
      <t>verschiedene Formen</t>
    </r>
  </si>
  <si>
    <t>Verschiedene Formen</t>
  </si>
  <si>
    <t>verschieden</t>
  </si>
  <si>
    <t>bei bedarf</t>
  </si>
  <si>
    <r>
      <t xml:space="preserve">Zugbildung, Gruppe Wega </t>
    </r>
    <r>
      <rPr>
        <sz val="9"/>
        <rFont val="Times New Roman"/>
        <family val="1"/>
      </rPr>
      <t>in jedem Fahrplan</t>
    </r>
  </si>
  <si>
    <t>am Schluss von Gr.2</t>
  </si>
  <si>
    <r>
      <t xml:space="preserve">Monatsumsatz, Fa. Metzeler, </t>
    </r>
    <r>
      <rPr>
        <sz val="12"/>
        <rFont val="Times New Roman"/>
        <family val="1"/>
      </rPr>
      <t>Werk Wega</t>
    </r>
  </si>
  <si>
    <t>Wagner&amp;Sohn</t>
  </si>
  <si>
    <t>Transport und Lagerung</t>
  </si>
  <si>
    <t>Eilgut</t>
  </si>
  <si>
    <t>Halle</t>
  </si>
  <si>
    <t xml:space="preserve"> Fisch</t>
  </si>
  <si>
    <t>leer Wagen (G)</t>
  </si>
  <si>
    <t>leer Wagen (O)</t>
  </si>
  <si>
    <t>leer Wagen (S)</t>
  </si>
  <si>
    <t>Stahlblech (S)</t>
  </si>
  <si>
    <t xml:space="preserve">Stahltrohre (S) </t>
  </si>
  <si>
    <t>Stahlträger (S)</t>
  </si>
  <si>
    <t>Zuliefergroßteile (S)</t>
  </si>
  <si>
    <t>Maschinen (S)</t>
  </si>
  <si>
    <t>Schrott (O)</t>
  </si>
  <si>
    <t>Stückgut (G)</t>
  </si>
  <si>
    <t>Eilgut (G)</t>
  </si>
  <si>
    <t>Schrauben (G)</t>
  </si>
  <si>
    <t>Kleingeräte (G)</t>
  </si>
  <si>
    <t>Kabel (G)</t>
  </si>
  <si>
    <t>Verpackungsholz (G)</t>
  </si>
  <si>
    <t>Fisch (I)</t>
  </si>
  <si>
    <t xml:space="preserve">Zettel ohne Fracht und Wagen Gattung </t>
  </si>
  <si>
    <t>12 Zettel Empfang</t>
  </si>
  <si>
    <t>3 Zettel von je 6 Farben Versand (18)</t>
  </si>
  <si>
    <t>0,25 E</t>
  </si>
  <si>
    <t>2 V</t>
  </si>
  <si>
    <t>1 V</t>
  </si>
  <si>
    <t>0,25 V</t>
  </si>
  <si>
    <t>gelieferte Zettel</t>
  </si>
  <si>
    <t>2E / 2V</t>
  </si>
  <si>
    <t>4 V</t>
  </si>
  <si>
    <t>4 E</t>
  </si>
  <si>
    <t>5 E</t>
  </si>
  <si>
    <t>3E / 1V</t>
  </si>
  <si>
    <t>4 V /3 E /1 We</t>
  </si>
  <si>
    <t>4 We</t>
  </si>
  <si>
    <t>2 We</t>
  </si>
  <si>
    <t>1E</t>
  </si>
  <si>
    <t>Wagen / Tag</t>
  </si>
  <si>
    <t>Frachten Bettenhäuser Industriebahn</t>
  </si>
  <si>
    <t>Kühlhaus Gleis 4</t>
  </si>
  <si>
    <t xml:space="preserve">Gesamtsumme Bettenhäuser Industriebahn </t>
  </si>
  <si>
    <t>Bachman</t>
  </si>
  <si>
    <t>Bettenhäuser Industriebahn BIB, Frachtaufkommen</t>
  </si>
  <si>
    <t>Anzahl Ladestellen</t>
  </si>
  <si>
    <t>Eingabe Wagenaufkommen in türkis unterlegten Feldern</t>
  </si>
  <si>
    <r>
      <t>PU-Weichschaumprodukte</t>
    </r>
    <r>
      <rPr>
        <sz val="9"/>
        <color indexed="22"/>
        <rFont val="Times New Roman"/>
        <family val="1"/>
      </rPr>
      <t xml:space="preserve"> verschiedene Formen</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</si>
</sst>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00000"/>
    <numFmt numFmtId="176" formatCode="0.00;[Red]0.00"/>
    <numFmt numFmtId="177" formatCode="0;[Red]0"/>
    <numFmt numFmtId="178" formatCode="#\ ?/2"/>
    <numFmt numFmtId="179" formatCode="#\ ?/8"/>
    <numFmt numFmtId="180" formatCode="0.0%"/>
    <numFmt numFmtId="181" formatCode="0.0"/>
  </numFmts>
  <fonts count="40">
    <font>
      <sz val="10"/>
      <name val="Arial"/>
      <family val="0"/>
    </font>
    <font>
      <i/>
      <sz val="8"/>
      <name val="Times New Roman"/>
      <family val="1"/>
    </font>
    <font>
      <b/>
      <u val="single"/>
      <sz val="12"/>
      <name val="Times New Roman"/>
      <family val="1"/>
    </font>
    <font>
      <i/>
      <sz val="11"/>
      <name val="Times New Roman"/>
      <family val="1"/>
    </font>
    <font>
      <sz val="11"/>
      <name val="Times New Roman"/>
      <family val="1"/>
    </font>
    <font>
      <u val="single"/>
      <sz val="10"/>
      <color indexed="12"/>
      <name val="Arial"/>
      <family val="0"/>
    </font>
    <font>
      <u val="single"/>
      <sz val="10"/>
      <color indexed="36"/>
      <name val="Arial"/>
      <family val="0"/>
    </font>
    <font>
      <sz val="10"/>
      <name val="Times New Roman"/>
      <family val="1"/>
    </font>
    <font>
      <b/>
      <sz val="11"/>
      <name val="Times New Roman"/>
      <family val="1"/>
    </font>
    <font>
      <u val="double"/>
      <sz val="11"/>
      <name val="Times New Roman"/>
      <family val="1"/>
    </font>
    <font>
      <sz val="8"/>
      <name val="Times New Roman"/>
      <family val="1"/>
    </font>
    <font>
      <sz val="9"/>
      <name val="Times New Roman"/>
      <family val="1"/>
    </font>
    <font>
      <b/>
      <sz val="9"/>
      <name val="Times New Roman"/>
      <family val="1"/>
    </font>
    <font>
      <i/>
      <sz val="9"/>
      <name val="Times New Roman"/>
      <family val="1"/>
    </font>
    <font>
      <sz val="10"/>
      <name val="Terminal"/>
      <family val="3"/>
    </font>
    <font>
      <u val="double"/>
      <sz val="10"/>
      <name val="Times New Roman"/>
      <family val="1"/>
    </font>
    <font>
      <sz val="9"/>
      <color indexed="12"/>
      <name val="Times New Roman"/>
      <family val="1"/>
    </font>
    <font>
      <sz val="8"/>
      <color indexed="12"/>
      <name val="Times New Roman"/>
      <family val="1"/>
    </font>
    <font>
      <sz val="10"/>
      <color indexed="10"/>
      <name val="Arial"/>
      <family val="2"/>
    </font>
    <font>
      <sz val="18"/>
      <color indexed="10"/>
      <name val="Arial"/>
      <family val="2"/>
    </font>
    <font>
      <sz val="9"/>
      <name val="Arial"/>
      <family val="0"/>
    </font>
    <font>
      <sz val="9"/>
      <color indexed="10"/>
      <name val="Times New Roman"/>
      <family val="1"/>
    </font>
    <font>
      <sz val="8"/>
      <color indexed="10"/>
      <name val="Times New Roman"/>
      <family val="1"/>
    </font>
    <font>
      <sz val="12"/>
      <name val="Times New Roman"/>
      <family val="1"/>
    </font>
    <font>
      <sz val="14"/>
      <name val="Times New Roman"/>
      <family val="1"/>
    </font>
    <font>
      <sz val="14"/>
      <name val="Arial"/>
      <family val="0"/>
    </font>
    <font>
      <sz val="12"/>
      <name val="Arial"/>
      <family val="0"/>
    </font>
    <font>
      <sz val="9"/>
      <color indexed="8"/>
      <name val="Times New Roman"/>
      <family val="1"/>
    </font>
    <font>
      <sz val="16"/>
      <name val="Times New Roman"/>
      <family val="1"/>
    </font>
    <font>
      <sz val="11"/>
      <name val="Arial"/>
      <family val="2"/>
    </font>
    <font>
      <i/>
      <sz val="10"/>
      <name val="Times New Roman"/>
      <family val="1"/>
    </font>
    <font>
      <b/>
      <sz val="10"/>
      <name val="Times New Roman"/>
      <family val="1"/>
    </font>
    <font>
      <b/>
      <i/>
      <sz val="10"/>
      <name val="Times New Roman"/>
      <family val="1"/>
    </font>
    <font>
      <sz val="12"/>
      <color indexed="10"/>
      <name val="Times New Roman"/>
      <family val="1"/>
    </font>
    <font>
      <sz val="11"/>
      <color indexed="10"/>
      <name val="Times New Roman"/>
      <family val="1"/>
    </font>
    <font>
      <sz val="11"/>
      <color indexed="22"/>
      <name val="Times New Roman"/>
      <family val="1"/>
    </font>
    <font>
      <sz val="9"/>
      <color indexed="22"/>
      <name val="Times New Roman"/>
      <family val="1"/>
    </font>
    <font>
      <sz val="10"/>
      <color indexed="22"/>
      <name val="Arial"/>
      <family val="0"/>
    </font>
    <font>
      <i/>
      <sz val="10"/>
      <color indexed="22"/>
      <name val="Times New Roman"/>
      <family val="1"/>
    </font>
    <font>
      <sz val="8"/>
      <color indexed="22"/>
      <name val="Times New Roman"/>
      <family val="1"/>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7">
    <xf numFmtId="0" fontId="0" fillId="0" borderId="0" xfId="0" applyAlignment="1">
      <alignment/>
    </xf>
    <xf numFmtId="0" fontId="0" fillId="0" borderId="0" xfId="0" applyBorder="1" applyAlignment="1">
      <alignment vertical="center"/>
    </xf>
    <xf numFmtId="0" fontId="1" fillId="0" borderId="0" xfId="0" applyFont="1" applyBorder="1" applyAlignment="1">
      <alignment vertical="top"/>
    </xf>
    <xf numFmtId="0" fontId="0" fillId="0" borderId="0" xfId="0" applyBorder="1" applyAlignment="1">
      <alignment vertical="top"/>
    </xf>
    <xf numFmtId="0" fontId="7" fillId="2" borderId="1"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176" fontId="9" fillId="2" borderId="0" xfId="0" applyNumberFormat="1" applyFont="1" applyFill="1" applyBorder="1" applyAlignment="1">
      <alignment horizontal="left"/>
    </xf>
    <xf numFmtId="176" fontId="4" fillId="2" borderId="1" xfId="0" applyNumberFormat="1" applyFont="1" applyFill="1" applyBorder="1" applyAlignment="1">
      <alignment horizontal="left"/>
    </xf>
    <xf numFmtId="0" fontId="8" fillId="2" borderId="2" xfId="0" applyFont="1" applyFill="1" applyBorder="1" applyAlignment="1">
      <alignment horizontal="left"/>
    </xf>
    <xf numFmtId="0" fontId="4" fillId="2" borderId="3" xfId="0"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horizontal="left"/>
    </xf>
    <xf numFmtId="0" fontId="4" fillId="2" borderId="6" xfId="0" applyFont="1" applyFill="1" applyBorder="1" applyAlignment="1">
      <alignment/>
    </xf>
    <xf numFmtId="0" fontId="4" fillId="2" borderId="7" xfId="0" applyFont="1" applyFill="1" applyBorder="1" applyAlignment="1">
      <alignment/>
    </xf>
    <xf numFmtId="176" fontId="4" fillId="2" borderId="8" xfId="0" applyNumberFormat="1" applyFont="1" applyFill="1" applyBorder="1" applyAlignment="1">
      <alignment horizontal="left"/>
    </xf>
    <xf numFmtId="176" fontId="4" fillId="2" borderId="5" xfId="0" applyNumberFormat="1" applyFont="1" applyFill="1" applyBorder="1" applyAlignment="1">
      <alignment horizontal="left"/>
    </xf>
    <xf numFmtId="176" fontId="7" fillId="2" borderId="1" xfId="0" applyNumberFormat="1" applyFont="1" applyFill="1" applyBorder="1" applyAlignment="1">
      <alignment horizontal="left"/>
    </xf>
    <xf numFmtId="177" fontId="7" fillId="2" borderId="1" xfId="0" applyNumberFormat="1" applyFont="1" applyFill="1" applyBorder="1" applyAlignment="1">
      <alignment/>
    </xf>
    <xf numFmtId="0" fontId="7" fillId="2" borderId="6" xfId="0" applyFont="1" applyFill="1" applyBorder="1" applyAlignment="1">
      <alignment/>
    </xf>
    <xf numFmtId="0" fontId="0" fillId="0" borderId="0" xfId="0" applyFill="1" applyBorder="1" applyAlignment="1">
      <alignment/>
    </xf>
    <xf numFmtId="0" fontId="10" fillId="2" borderId="3" xfId="0" applyFont="1" applyFill="1" applyBorder="1" applyAlignment="1">
      <alignment horizontal="right"/>
    </xf>
    <xf numFmtId="2" fontId="7" fillId="2" borderId="7" xfId="0" applyNumberFormat="1" applyFont="1" applyFill="1" applyBorder="1" applyAlignment="1">
      <alignment/>
    </xf>
    <xf numFmtId="2" fontId="4" fillId="2" borderId="0" xfId="0" applyNumberFormat="1" applyFont="1" applyFill="1" applyBorder="1" applyAlignment="1">
      <alignment horizontal="left"/>
    </xf>
    <xf numFmtId="0" fontId="4" fillId="2" borderId="9" xfId="0" applyFont="1" applyFill="1" applyBorder="1" applyAlignment="1">
      <alignment/>
    </xf>
    <xf numFmtId="0" fontId="0" fillId="0" borderId="0" xfId="0" applyBorder="1" applyAlignment="1">
      <alignment/>
    </xf>
    <xf numFmtId="0" fontId="10" fillId="2" borderId="7" xfId="0" applyFont="1" applyFill="1" applyBorder="1" applyAlignment="1">
      <alignment/>
    </xf>
    <xf numFmtId="0" fontId="10" fillId="2" borderId="7" xfId="0" applyFont="1" applyFill="1" applyBorder="1" applyAlignment="1">
      <alignment horizontal="left"/>
    </xf>
    <xf numFmtId="0" fontId="10" fillId="2" borderId="6" xfId="0" applyFont="1" applyFill="1" applyBorder="1" applyAlignment="1">
      <alignment horizontal="left"/>
    </xf>
    <xf numFmtId="0" fontId="0" fillId="2" borderId="0" xfId="0" applyFill="1" applyAlignment="1">
      <alignment/>
    </xf>
    <xf numFmtId="0" fontId="0" fillId="0" borderId="0" xfId="0" applyAlignment="1">
      <alignment horizontal="right"/>
    </xf>
    <xf numFmtId="0" fontId="10" fillId="2" borderId="0" xfId="0" applyFont="1" applyFill="1" applyBorder="1" applyAlignment="1">
      <alignment horizontal="left"/>
    </xf>
    <xf numFmtId="0" fontId="10" fillId="2" borderId="1" xfId="0" applyFont="1" applyFill="1" applyBorder="1" applyAlignment="1">
      <alignment horizontal="left"/>
    </xf>
    <xf numFmtId="0" fontId="7" fillId="2" borderId="0" xfId="0" applyFont="1" applyFill="1" applyBorder="1" applyAlignment="1">
      <alignment/>
    </xf>
    <xf numFmtId="10" fontId="0" fillId="0" borderId="0" xfId="0" applyNumberFormat="1" applyAlignment="1">
      <alignment/>
    </xf>
    <xf numFmtId="0" fontId="7" fillId="2" borderId="7" xfId="0" applyFont="1" applyFill="1" applyBorder="1" applyAlignment="1">
      <alignment/>
    </xf>
    <xf numFmtId="0" fontId="7" fillId="2" borderId="10" xfId="0" applyFont="1" applyFill="1" applyBorder="1" applyAlignment="1">
      <alignment/>
    </xf>
    <xf numFmtId="0" fontId="0" fillId="0" borderId="0" xfId="0" applyFont="1" applyAlignment="1">
      <alignment/>
    </xf>
    <xf numFmtId="0" fontId="0" fillId="0" borderId="0" xfId="0" applyAlignment="1" applyProtection="1">
      <alignment/>
      <protection hidden="1"/>
    </xf>
    <xf numFmtId="0" fontId="12" fillId="2" borderId="11" xfId="0" applyFont="1" applyFill="1" applyBorder="1" applyAlignment="1">
      <alignment/>
    </xf>
    <xf numFmtId="0" fontId="13" fillId="2" borderId="8" xfId="0" applyFont="1" applyFill="1" applyBorder="1" applyAlignment="1">
      <alignment horizontal="left"/>
    </xf>
    <xf numFmtId="176" fontId="13" fillId="2" borderId="8" xfId="0" applyNumberFormat="1" applyFont="1" applyFill="1" applyBorder="1" applyAlignment="1">
      <alignment/>
    </xf>
    <xf numFmtId="0" fontId="13" fillId="2" borderId="8" xfId="0" applyFont="1" applyFill="1" applyBorder="1" applyAlignment="1">
      <alignment/>
    </xf>
    <xf numFmtId="0" fontId="10" fillId="2" borderId="5" xfId="0" applyFont="1" applyFill="1" applyBorder="1" applyAlignment="1">
      <alignment/>
    </xf>
    <xf numFmtId="176" fontId="13" fillId="2" borderId="8" xfId="0" applyNumberFormat="1" applyFont="1" applyFill="1" applyBorder="1" applyAlignment="1">
      <alignment horizontal="left"/>
    </xf>
    <xf numFmtId="0" fontId="13" fillId="2" borderId="10" xfId="0" applyFont="1" applyFill="1" applyBorder="1" applyAlignment="1">
      <alignment horizontal="left"/>
    </xf>
    <xf numFmtId="176" fontId="13" fillId="2" borderId="10" xfId="0" applyNumberFormat="1" applyFont="1" applyFill="1" applyBorder="1" applyAlignment="1">
      <alignment/>
    </xf>
    <xf numFmtId="0" fontId="13" fillId="2" borderId="10" xfId="0" applyFont="1" applyFill="1" applyBorder="1" applyAlignment="1">
      <alignment/>
    </xf>
    <xf numFmtId="176" fontId="13" fillId="2" borderId="12" xfId="0" applyNumberFormat="1" applyFont="1" applyFill="1" applyBorder="1" applyAlignment="1">
      <alignment horizontal="left"/>
    </xf>
    <xf numFmtId="0" fontId="14" fillId="2" borderId="0" xfId="0" applyFont="1" applyFill="1" applyAlignment="1">
      <alignment/>
    </xf>
    <xf numFmtId="0" fontId="7" fillId="2" borderId="13" xfId="0" applyFont="1" applyFill="1" applyBorder="1" applyAlignment="1">
      <alignment horizontal="left"/>
    </xf>
    <xf numFmtId="0" fontId="7" fillId="2" borderId="9" xfId="0" applyFont="1" applyFill="1" applyBorder="1" applyAlignment="1">
      <alignment horizontal="left"/>
    </xf>
    <xf numFmtId="176" fontId="7" fillId="2" borderId="13" xfId="0" applyNumberFormat="1" applyFont="1" applyFill="1" applyBorder="1" applyAlignment="1">
      <alignment/>
    </xf>
    <xf numFmtId="0" fontId="7" fillId="2" borderId="0" xfId="0" applyFont="1" applyFill="1" applyAlignment="1">
      <alignment/>
    </xf>
    <xf numFmtId="0" fontId="7" fillId="2" borderId="3" xfId="0" applyFont="1" applyFill="1" applyBorder="1" applyAlignment="1">
      <alignment/>
    </xf>
    <xf numFmtId="176" fontId="7" fillId="2" borderId="13" xfId="0" applyNumberFormat="1" applyFont="1" applyFill="1" applyBorder="1" applyAlignment="1">
      <alignment horizontal="left"/>
    </xf>
    <xf numFmtId="176" fontId="7" fillId="2" borderId="9" xfId="0" applyNumberFormat="1" applyFont="1" applyFill="1" applyBorder="1" applyAlignment="1">
      <alignment horizontal="left"/>
    </xf>
    <xf numFmtId="0" fontId="7" fillId="2" borderId="4"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horizontal="right"/>
    </xf>
    <xf numFmtId="0" fontId="7" fillId="2" borderId="9" xfId="0" applyFont="1" applyFill="1" applyBorder="1" applyAlignment="1">
      <alignment/>
    </xf>
    <xf numFmtId="0" fontId="7" fillId="2" borderId="15" xfId="0" applyFont="1" applyFill="1" applyBorder="1" applyAlignment="1">
      <alignment/>
    </xf>
    <xf numFmtId="2" fontId="7" fillId="2" borderId="0" xfId="0" applyNumberFormat="1" applyFont="1" applyFill="1" applyBorder="1" applyAlignment="1">
      <alignment/>
    </xf>
    <xf numFmtId="0" fontId="7" fillId="2" borderId="12" xfId="0" applyFont="1" applyFill="1" applyBorder="1" applyAlignment="1">
      <alignment/>
    </xf>
    <xf numFmtId="2" fontId="15" fillId="2" borderId="6" xfId="0" applyNumberFormat="1" applyFont="1" applyFill="1" applyBorder="1" applyAlignment="1">
      <alignment/>
    </xf>
    <xf numFmtId="2" fontId="15" fillId="2" borderId="1" xfId="0" applyNumberFormat="1" applyFont="1" applyFill="1" applyBorder="1" applyAlignment="1">
      <alignment horizontal="left"/>
    </xf>
    <xf numFmtId="2" fontId="7" fillId="2" borderId="1" xfId="0" applyNumberFormat="1" applyFont="1" applyFill="1" applyBorder="1" applyAlignment="1">
      <alignment/>
    </xf>
    <xf numFmtId="2" fontId="15" fillId="2" borderId="0" xfId="0" applyNumberFormat="1" applyFont="1" applyFill="1" applyBorder="1" applyAlignment="1">
      <alignment/>
    </xf>
    <xf numFmtId="2" fontId="11" fillId="2" borderId="0" xfId="0" applyNumberFormat="1" applyFont="1" applyFill="1" applyBorder="1" applyAlignment="1">
      <alignment/>
    </xf>
    <xf numFmtId="2" fontId="11" fillId="2" borderId="0" xfId="0" applyNumberFormat="1" applyFont="1" applyFill="1" applyBorder="1" applyAlignment="1">
      <alignment horizontal="right"/>
    </xf>
    <xf numFmtId="2" fontId="10" fillId="2" borderId="7" xfId="0" applyNumberFormat="1" applyFont="1" applyFill="1" applyBorder="1" applyAlignment="1">
      <alignment horizontal="left"/>
    </xf>
    <xf numFmtId="2" fontId="16" fillId="2" borderId="10" xfId="0" applyNumberFormat="1" applyFont="1" applyFill="1" applyBorder="1" applyAlignment="1">
      <alignment horizontal="right"/>
    </xf>
    <xf numFmtId="2" fontId="10" fillId="2" borderId="7" xfId="0" applyNumberFormat="1" applyFont="1" applyFill="1" applyBorder="1" applyAlignment="1">
      <alignment/>
    </xf>
    <xf numFmtId="2" fontId="11" fillId="2" borderId="10" xfId="0" applyNumberFormat="1" applyFont="1" applyFill="1" applyBorder="1" applyAlignment="1">
      <alignment horizontal="right"/>
    </xf>
    <xf numFmtId="2" fontId="11" fillId="2" borderId="10" xfId="0" applyNumberFormat="1" applyFont="1" applyFill="1" applyBorder="1" applyAlignment="1">
      <alignment/>
    </xf>
    <xf numFmtId="2" fontId="17" fillId="2" borderId="7" xfId="0" applyNumberFormat="1" applyFont="1" applyFill="1" applyBorder="1" applyAlignment="1">
      <alignment horizontal="left"/>
    </xf>
    <xf numFmtId="2" fontId="17" fillId="2" borderId="0" xfId="0" applyNumberFormat="1" applyFont="1" applyFill="1" applyBorder="1" applyAlignment="1">
      <alignment horizontal="left"/>
    </xf>
    <xf numFmtId="2" fontId="16" fillId="2" borderId="7" xfId="0" applyNumberFormat="1" applyFont="1" applyFill="1" applyBorder="1" applyAlignment="1">
      <alignment horizontal="left"/>
    </xf>
    <xf numFmtId="2" fontId="11" fillId="2" borderId="1" xfId="0" applyNumberFormat="1" applyFont="1" applyFill="1" applyBorder="1" applyAlignment="1">
      <alignment/>
    </xf>
    <xf numFmtId="0" fontId="0" fillId="0" borderId="7" xfId="0" applyBorder="1" applyAlignment="1" applyProtection="1">
      <alignment/>
      <protection hidden="1"/>
    </xf>
    <xf numFmtId="0" fontId="0" fillId="0" borderId="8" xfId="0" applyBorder="1" applyAlignment="1" applyProtection="1">
      <alignment/>
      <protection hidden="1"/>
    </xf>
    <xf numFmtId="0" fontId="0" fillId="0" borderId="5" xfId="0" applyBorder="1" applyAlignment="1" applyProtection="1">
      <alignment/>
      <protection hidden="1"/>
    </xf>
    <xf numFmtId="0" fontId="0" fillId="0" borderId="0" xfId="0"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0" borderId="4" xfId="0" applyBorder="1" applyAlignment="1" applyProtection="1">
      <alignment/>
      <protection hidden="1"/>
    </xf>
    <xf numFmtId="0" fontId="19" fillId="0" borderId="10" xfId="0" applyFont="1" applyBorder="1" applyAlignment="1" applyProtection="1">
      <alignment/>
      <protection hidden="1"/>
    </xf>
    <xf numFmtId="0" fontId="18" fillId="0" borderId="0" xfId="0" applyFont="1"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 xfId="0" applyBorder="1" applyAlignment="1" applyProtection="1">
      <alignment/>
      <protection hidden="1"/>
    </xf>
    <xf numFmtId="0" fontId="0" fillId="0" borderId="6" xfId="0" applyBorder="1" applyAlignment="1" applyProtection="1">
      <alignment/>
      <protection hidden="1"/>
    </xf>
    <xf numFmtId="176" fontId="7" fillId="0" borderId="12" xfId="0" applyNumberFormat="1" applyFont="1" applyFill="1" applyBorder="1" applyAlignment="1" applyProtection="1">
      <alignment horizontal="right"/>
      <protection hidden="1"/>
    </xf>
    <xf numFmtId="0" fontId="0" fillId="0" borderId="1" xfId="0" applyFont="1" applyFill="1" applyBorder="1" applyAlignment="1" applyProtection="1">
      <alignment/>
      <protection hidden="1"/>
    </xf>
    <xf numFmtId="176" fontId="7" fillId="0" borderId="1" xfId="0" applyNumberFormat="1" applyFont="1" applyFill="1" applyBorder="1" applyAlignment="1" applyProtection="1">
      <alignment horizontal="right"/>
      <protection hidden="1"/>
    </xf>
    <xf numFmtId="0" fontId="7" fillId="0" borderId="1" xfId="0" applyFont="1" applyFill="1" applyBorder="1" applyAlignment="1" applyProtection="1">
      <alignment/>
      <protection hidden="1"/>
    </xf>
    <xf numFmtId="0" fontId="0" fillId="0" borderId="1" xfId="0" applyFont="1" applyBorder="1" applyAlignment="1" applyProtection="1">
      <alignment/>
      <protection hidden="1"/>
    </xf>
    <xf numFmtId="176" fontId="0" fillId="0" borderId="6" xfId="0" applyNumberFormat="1" applyFont="1" applyBorder="1" applyAlignment="1" applyProtection="1">
      <alignment/>
      <protection hidden="1"/>
    </xf>
    <xf numFmtId="0" fontId="11" fillId="2" borderId="0" xfId="0" applyFont="1" applyFill="1" applyBorder="1" applyAlignment="1">
      <alignment horizontal="left"/>
    </xf>
    <xf numFmtId="0" fontId="11" fillId="2" borderId="4" xfId="0" applyFont="1" applyFill="1" applyBorder="1" applyAlignment="1">
      <alignment/>
    </xf>
    <xf numFmtId="0" fontId="11" fillId="2" borderId="0" xfId="0" applyFont="1" applyFill="1" applyBorder="1" applyAlignment="1">
      <alignment/>
    </xf>
    <xf numFmtId="0" fontId="11" fillId="2" borderId="7" xfId="0" applyFont="1" applyFill="1" applyBorder="1" applyAlignment="1">
      <alignment/>
    </xf>
    <xf numFmtId="0" fontId="11" fillId="2" borderId="1" xfId="0" applyFont="1" applyFill="1" applyBorder="1" applyAlignment="1">
      <alignment/>
    </xf>
    <xf numFmtId="0" fontId="0" fillId="0" borderId="0" xfId="0" applyAlignment="1">
      <alignment horizontal="left"/>
    </xf>
    <xf numFmtId="0" fontId="0" fillId="2" borderId="9" xfId="0" applyFill="1" applyBorder="1" applyAlignment="1">
      <alignment/>
    </xf>
    <xf numFmtId="0" fontId="11" fillId="2" borderId="0" xfId="0" applyFont="1" applyFill="1" applyAlignment="1">
      <alignment/>
    </xf>
    <xf numFmtId="180" fontId="7" fillId="2" borderId="1" xfId="0" applyNumberFormat="1" applyFont="1" applyFill="1" applyBorder="1" applyAlignment="1">
      <alignment horizontal="left"/>
    </xf>
    <xf numFmtId="180" fontId="11" fillId="2" borderId="0" xfId="0" applyNumberFormat="1" applyFont="1" applyFill="1" applyAlignment="1">
      <alignment horizontal="left"/>
    </xf>
    <xf numFmtId="180" fontId="11" fillId="2" borderId="1" xfId="0" applyNumberFormat="1" applyFont="1" applyFill="1" applyBorder="1" applyAlignment="1">
      <alignment horizontal="left"/>
    </xf>
    <xf numFmtId="180" fontId="10" fillId="2" borderId="3" xfId="0" applyNumberFormat="1" applyFont="1" applyFill="1" applyBorder="1" applyAlignment="1">
      <alignment horizontal="left"/>
    </xf>
    <xf numFmtId="180" fontId="11" fillId="2" borderId="0" xfId="0" applyNumberFormat="1" applyFont="1" applyFill="1" applyBorder="1" applyAlignment="1">
      <alignment horizontal="left"/>
    </xf>
    <xf numFmtId="0" fontId="12" fillId="2" borderId="9" xfId="0" applyFont="1" applyFill="1" applyBorder="1" applyAlignment="1">
      <alignment/>
    </xf>
    <xf numFmtId="0" fontId="0" fillId="2" borderId="1" xfId="0" applyFill="1" applyBorder="1" applyAlignment="1">
      <alignment/>
    </xf>
    <xf numFmtId="2" fontId="21" fillId="2" borderId="12" xfId="0" applyNumberFormat="1" applyFont="1" applyFill="1" applyBorder="1" applyAlignment="1">
      <alignment horizontal="right"/>
    </xf>
    <xf numFmtId="2" fontId="22" fillId="2" borderId="6" xfId="0" applyNumberFormat="1" applyFont="1" applyFill="1" applyBorder="1" applyAlignment="1">
      <alignment horizontal="left"/>
    </xf>
    <xf numFmtId="2" fontId="22" fillId="2" borderId="1" xfId="0" applyNumberFormat="1" applyFont="1" applyFill="1" applyBorder="1" applyAlignment="1">
      <alignment horizontal="left"/>
    </xf>
    <xf numFmtId="2" fontId="21" fillId="2" borderId="6" xfId="0" applyNumberFormat="1" applyFont="1" applyFill="1" applyBorder="1" applyAlignment="1">
      <alignment horizontal="left"/>
    </xf>
    <xf numFmtId="0" fontId="17" fillId="2" borderId="7" xfId="0" applyFont="1" applyFill="1" applyBorder="1" applyAlignment="1">
      <alignment horizontal="left"/>
    </xf>
    <xf numFmtId="2" fontId="21" fillId="2" borderId="1" xfId="0" applyNumberFormat="1" applyFont="1" applyFill="1" applyBorder="1" applyAlignment="1">
      <alignment horizontal="right"/>
    </xf>
    <xf numFmtId="0" fontId="22" fillId="2" borderId="6" xfId="0" applyFont="1" applyFill="1" applyBorder="1" applyAlignment="1">
      <alignment horizontal="left"/>
    </xf>
    <xf numFmtId="0" fontId="4" fillId="3" borderId="0" xfId="0" applyFont="1" applyFill="1" applyBorder="1" applyAlignment="1">
      <alignment vertical="center"/>
    </xf>
    <xf numFmtId="0" fontId="0" fillId="2" borderId="0" xfId="0" applyFill="1" applyBorder="1" applyAlignment="1">
      <alignment vertical="top"/>
    </xf>
    <xf numFmtId="0" fontId="0" fillId="2" borderId="0" xfId="0" applyFill="1" applyBorder="1" applyAlignment="1">
      <alignment/>
    </xf>
    <xf numFmtId="0" fontId="0" fillId="2" borderId="0" xfId="0" applyFill="1" applyBorder="1" applyAlignment="1">
      <alignment vertical="center"/>
    </xf>
    <xf numFmtId="0" fontId="0" fillId="3" borderId="7" xfId="0" applyFill="1" applyBorder="1" applyAlignment="1">
      <alignment vertical="center"/>
    </xf>
    <xf numFmtId="0" fontId="4" fillId="3" borderId="12" xfId="0" applyFont="1" applyFill="1" applyBorder="1" applyAlignment="1">
      <alignment vertical="center" wrapText="1"/>
    </xf>
    <xf numFmtId="16" fontId="0" fillId="0" borderId="0" xfId="0" applyNumberFormat="1" applyBorder="1" applyAlignment="1">
      <alignment vertical="top"/>
    </xf>
    <xf numFmtId="0" fontId="4" fillId="2" borderId="5" xfId="0" applyFont="1" applyFill="1" applyBorder="1" applyAlignment="1" applyProtection="1">
      <alignment horizontal="center" vertical="top" wrapText="1"/>
      <protection hidden="1" locked="0"/>
    </xf>
    <xf numFmtId="0" fontId="4" fillId="2" borderId="6" xfId="0" applyFont="1" applyFill="1" applyBorder="1" applyAlignment="1" applyProtection="1">
      <alignment vertical="top" wrapText="1"/>
      <protection hidden="1" locked="0"/>
    </xf>
    <xf numFmtId="0" fontId="4" fillId="2" borderId="6" xfId="0" applyFont="1" applyFill="1" applyBorder="1" applyAlignment="1" applyProtection="1">
      <alignment vertical="center" wrapText="1"/>
      <protection hidden="1" locked="0"/>
    </xf>
    <xf numFmtId="12" fontId="4" fillId="4" borderId="6" xfId="0" applyNumberFormat="1" applyFont="1" applyFill="1" applyBorder="1" applyAlignment="1" applyProtection="1">
      <alignment horizontal="center" vertical="center" wrapText="1"/>
      <protection hidden="1" locked="0"/>
    </xf>
    <xf numFmtId="0" fontId="4" fillId="4" borderId="6" xfId="0" applyFont="1" applyFill="1" applyBorder="1" applyAlignment="1" applyProtection="1">
      <alignment horizontal="center" vertical="center" wrapText="1"/>
      <protection hidden="1" locked="0"/>
    </xf>
    <xf numFmtId="0" fontId="4" fillId="2" borderId="4" xfId="0" applyFont="1" applyFill="1" applyBorder="1" applyAlignment="1" applyProtection="1">
      <alignment vertical="top" wrapText="1"/>
      <protection hidden="1" locked="0"/>
    </xf>
    <xf numFmtId="12" fontId="4" fillId="2" borderId="6" xfId="0" applyNumberFormat="1" applyFont="1" applyFill="1" applyBorder="1" applyAlignment="1" applyProtection="1">
      <alignment horizontal="center" vertical="center" wrapText="1"/>
      <protection hidden="1" locked="0"/>
    </xf>
    <xf numFmtId="0" fontId="0" fillId="2" borderId="7" xfId="0" applyFill="1" applyBorder="1" applyAlignment="1" applyProtection="1">
      <alignment vertical="top" wrapText="1"/>
      <protection hidden="1" locked="0"/>
    </xf>
    <xf numFmtId="0" fontId="0" fillId="2" borderId="6" xfId="0" applyFill="1" applyBorder="1" applyAlignment="1" applyProtection="1">
      <alignment vertical="top" wrapText="1"/>
      <protection hidden="1" locked="0"/>
    </xf>
    <xf numFmtId="0" fontId="4" fillId="2" borderId="6" xfId="0" applyFont="1" applyFill="1" applyBorder="1" applyAlignment="1" applyProtection="1">
      <alignment horizontal="center" vertical="center" wrapText="1"/>
      <protection hidden="1" locked="0"/>
    </xf>
    <xf numFmtId="0" fontId="23" fillId="2" borderId="6" xfId="0" applyFont="1" applyFill="1" applyBorder="1" applyAlignment="1">
      <alignment horizontal="right"/>
    </xf>
    <xf numFmtId="0" fontId="23" fillId="2" borderId="7" xfId="0" applyFont="1" applyFill="1" applyBorder="1" applyAlignment="1">
      <alignment horizontal="right"/>
    </xf>
    <xf numFmtId="0" fontId="23" fillId="2" borderId="7" xfId="0" applyFont="1" applyFill="1" applyBorder="1" applyAlignment="1">
      <alignment horizontal="center"/>
    </xf>
    <xf numFmtId="0" fontId="23" fillId="2" borderId="6" xfId="0" applyFont="1" applyFill="1" applyBorder="1" applyAlignment="1">
      <alignment horizontal="center"/>
    </xf>
    <xf numFmtId="0" fontId="23" fillId="2" borderId="6" xfId="0" applyFont="1" applyFill="1" applyBorder="1" applyAlignment="1">
      <alignment horizontal="left"/>
    </xf>
    <xf numFmtId="0" fontId="23" fillId="2" borderId="7" xfId="0" applyFont="1" applyFill="1" applyBorder="1" applyAlignment="1">
      <alignment horizontal="left"/>
    </xf>
    <xf numFmtId="0" fontId="23" fillId="2" borderId="5" xfId="0" applyFont="1" applyFill="1" applyBorder="1" applyAlignment="1">
      <alignment/>
    </xf>
    <xf numFmtId="0" fontId="23" fillId="2" borderId="5" xfId="0" applyFont="1" applyFill="1" applyBorder="1" applyAlignment="1">
      <alignment horizontal="center"/>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left"/>
    </xf>
    <xf numFmtId="0" fontId="23" fillId="2" borderId="8" xfId="0" applyFont="1" applyFill="1" applyBorder="1" applyAlignment="1">
      <alignment horizontal="left"/>
    </xf>
    <xf numFmtId="0" fontId="0" fillId="0" borderId="7" xfId="0" applyBorder="1" applyAlignment="1">
      <alignment/>
    </xf>
    <xf numFmtId="0" fontId="4" fillId="3" borderId="7" xfId="0" applyFont="1" applyFill="1" applyBorder="1" applyAlignment="1">
      <alignment/>
    </xf>
    <xf numFmtId="0" fontId="23" fillId="2" borderId="1" xfId="0" applyFont="1" applyFill="1" applyBorder="1" applyAlignment="1">
      <alignment horizontal="center"/>
    </xf>
    <xf numFmtId="0" fontId="0" fillId="5" borderId="0" xfId="0" applyFill="1" applyBorder="1" applyAlignment="1">
      <alignment/>
    </xf>
    <xf numFmtId="0" fontId="23" fillId="5" borderId="0" xfId="0" applyFont="1" applyFill="1" applyBorder="1" applyAlignment="1">
      <alignment vertical="top" wrapText="1"/>
    </xf>
    <xf numFmtId="0" fontId="0" fillId="5" borderId="0" xfId="0" applyFill="1" applyBorder="1" applyAlignment="1">
      <alignment/>
    </xf>
    <xf numFmtId="0" fontId="0" fillId="5" borderId="0" xfId="0" applyFill="1" applyBorder="1" applyAlignment="1">
      <alignment horizontal="right"/>
    </xf>
    <xf numFmtId="0" fontId="0" fillId="5" borderId="0" xfId="0" applyFill="1" applyBorder="1" applyAlignment="1">
      <alignment horizontal="left"/>
    </xf>
    <xf numFmtId="0" fontId="0" fillId="3" borderId="6" xfId="0" applyFill="1" applyBorder="1" applyAlignment="1">
      <alignment vertical="center"/>
    </xf>
    <xf numFmtId="0" fontId="4" fillId="3" borderId="2" xfId="0" applyFont="1" applyFill="1" applyBorder="1" applyAlignment="1">
      <alignment vertical="center"/>
    </xf>
    <xf numFmtId="0" fontId="4" fillId="3" borderId="4" xfId="0" applyFont="1" applyFill="1" applyBorder="1" applyAlignment="1">
      <alignment vertical="center"/>
    </xf>
    <xf numFmtId="13" fontId="0" fillId="3" borderId="6" xfId="0" applyNumberFormat="1" applyFill="1" applyBorder="1" applyAlignment="1">
      <alignment vertical="center"/>
    </xf>
    <xf numFmtId="0" fontId="7" fillId="3" borderId="10" xfId="0" applyFont="1" applyFill="1" applyBorder="1" applyAlignment="1">
      <alignment vertical="center" wrapText="1"/>
    </xf>
    <xf numFmtId="0" fontId="0" fillId="2" borderId="0" xfId="0" applyFill="1" applyAlignment="1">
      <alignment horizontal="right"/>
    </xf>
    <xf numFmtId="0" fontId="0" fillId="2" borderId="0" xfId="0" applyFill="1" applyAlignment="1">
      <alignment horizontal="left"/>
    </xf>
    <xf numFmtId="0" fontId="23" fillId="2" borderId="5" xfId="0" applyFont="1" applyFill="1" applyBorder="1" applyAlignment="1">
      <alignment horizontal="right"/>
    </xf>
    <xf numFmtId="0" fontId="23" fillId="2" borderId="12" xfId="0" applyFont="1" applyFill="1" applyBorder="1" applyAlignment="1">
      <alignment horizontal="center"/>
    </xf>
    <xf numFmtId="0" fontId="23" fillId="2" borderId="12" xfId="0" applyFont="1" applyFill="1" applyBorder="1" applyAlignment="1">
      <alignment horizontal="left"/>
    </xf>
    <xf numFmtId="0" fontId="23" fillId="2" borderId="1" xfId="0" applyFont="1" applyFill="1" applyBorder="1" applyAlignment="1">
      <alignment horizontal="left"/>
    </xf>
    <xf numFmtId="0" fontId="23" fillId="2" borderId="14" xfId="0" applyFont="1" applyFill="1" applyBorder="1" applyAlignment="1">
      <alignment horizontal="center"/>
    </xf>
    <xf numFmtId="0" fontId="23" fillId="2" borderId="15" xfId="0" applyFont="1" applyFill="1" applyBorder="1" applyAlignment="1">
      <alignment horizontal="right"/>
    </xf>
    <xf numFmtId="0" fontId="0" fillId="0" borderId="5" xfId="0" applyBorder="1" applyAlignment="1">
      <alignment/>
    </xf>
    <xf numFmtId="0" fontId="7" fillId="2" borderId="1" xfId="0" applyFont="1" applyFill="1" applyBorder="1" applyAlignment="1">
      <alignment horizontal="right"/>
    </xf>
    <xf numFmtId="0" fontId="7" fillId="2" borderId="6" xfId="0" applyFont="1" applyFill="1" applyBorder="1" applyAlignment="1">
      <alignment horizontal="center"/>
    </xf>
    <xf numFmtId="0" fontId="27" fillId="2" borderId="8" xfId="0" applyNumberFormat="1" applyFont="1" applyFill="1" applyBorder="1" applyAlignment="1" applyProtection="1">
      <alignment horizontal="center" vertical="top" wrapText="1"/>
      <protection hidden="1" locked="0"/>
    </xf>
    <xf numFmtId="13" fontId="4" fillId="4" borderId="6" xfId="0" applyNumberFormat="1" applyFont="1" applyFill="1" applyBorder="1" applyAlignment="1" applyProtection="1">
      <alignment horizontal="center" vertical="center" wrapText="1"/>
      <protection hidden="1" locked="0"/>
    </xf>
    <xf numFmtId="0" fontId="23" fillId="2" borderId="8" xfId="0" applyFont="1" applyFill="1" applyBorder="1" applyAlignment="1" applyProtection="1">
      <alignment vertical="top" wrapText="1"/>
      <protection hidden="1" locked="0"/>
    </xf>
    <xf numFmtId="0" fontId="23" fillId="2" borderId="7" xfId="0" applyFont="1" applyFill="1" applyBorder="1" applyAlignment="1" applyProtection="1">
      <alignment vertical="center" wrapText="1"/>
      <protection hidden="1" locked="0"/>
    </xf>
    <xf numFmtId="0" fontId="23" fillId="2" borderId="6" xfId="0" applyFont="1" applyFill="1" applyBorder="1" applyAlignment="1" applyProtection="1">
      <alignment vertical="center" wrapText="1"/>
      <protection hidden="1" locked="0"/>
    </xf>
    <xf numFmtId="0" fontId="23" fillId="2" borderId="8" xfId="0" applyFont="1" applyFill="1" applyBorder="1" applyAlignment="1" applyProtection="1">
      <alignment vertical="top"/>
      <protection hidden="1" locked="0"/>
    </xf>
    <xf numFmtId="0" fontId="23" fillId="2" borderId="5" xfId="0" applyFont="1" applyFill="1" applyBorder="1" applyAlignment="1" applyProtection="1">
      <alignment vertical="top" wrapText="1"/>
      <protection hidden="1" locked="0"/>
    </xf>
    <xf numFmtId="0" fontId="27" fillId="2" borderId="5" xfId="0" applyNumberFormat="1" applyFont="1" applyFill="1" applyBorder="1" applyAlignment="1" applyProtection="1">
      <alignment horizontal="center" vertical="top" wrapText="1"/>
      <protection hidden="1" locked="0"/>
    </xf>
    <xf numFmtId="0" fontId="23" fillId="2" borderId="5" xfId="0" applyFont="1" applyFill="1" applyBorder="1" applyAlignment="1" applyProtection="1">
      <alignment vertical="center" wrapText="1"/>
      <protection hidden="1" locked="0"/>
    </xf>
    <xf numFmtId="0" fontId="23" fillId="2" borderId="11" xfId="0" applyFont="1" applyFill="1" applyBorder="1" applyAlignment="1" applyProtection="1">
      <alignment vertical="top" wrapText="1"/>
      <protection hidden="1" locked="0"/>
    </xf>
    <xf numFmtId="0" fontId="23" fillId="2" borderId="4" xfId="0" applyFont="1" applyFill="1" applyBorder="1" applyAlignment="1" applyProtection="1">
      <alignment vertical="center" wrapText="1"/>
      <protection hidden="1" locked="0"/>
    </xf>
    <xf numFmtId="0" fontId="23" fillId="2" borderId="10" xfId="0" applyFont="1" applyFill="1" applyBorder="1" applyAlignment="1" applyProtection="1">
      <alignment vertical="top" wrapText="1"/>
      <protection hidden="1" locked="0"/>
    </xf>
    <xf numFmtId="0" fontId="23" fillId="2" borderId="8" xfId="0" applyFont="1" applyFill="1" applyBorder="1" applyAlignment="1" applyProtection="1">
      <alignment vertical="center" wrapText="1"/>
      <protection hidden="1" locked="0"/>
    </xf>
    <xf numFmtId="0" fontId="23" fillId="2" borderId="11" xfId="0" applyFont="1" applyFill="1" applyBorder="1" applyAlignment="1">
      <alignment horizontal="left"/>
    </xf>
    <xf numFmtId="0" fontId="23" fillId="2" borderId="8" xfId="0" applyFont="1" applyFill="1" applyBorder="1" applyAlignment="1">
      <alignment/>
    </xf>
    <xf numFmtId="0" fontId="23" fillId="2" borderId="13" xfId="0" applyFont="1" applyFill="1" applyBorder="1" applyAlignment="1">
      <alignment horizontal="left" wrapText="1"/>
    </xf>
    <xf numFmtId="0" fontId="23" fillId="2" borderId="13" xfId="0" applyFont="1" applyFill="1" applyBorder="1" applyAlignment="1">
      <alignment horizontal="left"/>
    </xf>
    <xf numFmtId="0" fontId="0" fillId="0" borderId="0" xfId="0" applyFill="1" applyBorder="1" applyAlignment="1">
      <alignment horizontal="left" vertical="top" wrapText="1"/>
    </xf>
    <xf numFmtId="0" fontId="7" fillId="2" borderId="5" xfId="0" applyFont="1" applyFill="1" applyBorder="1" applyAlignment="1">
      <alignment/>
    </xf>
    <xf numFmtId="0" fontId="23" fillId="2" borderId="8" xfId="0" applyFont="1" applyFill="1" applyBorder="1" applyAlignment="1">
      <alignment horizontal="left" vertical="top" wrapText="1"/>
    </xf>
    <xf numFmtId="0" fontId="23" fillId="2" borderId="6" xfId="0" applyFont="1" applyFill="1" applyBorder="1" applyAlignment="1">
      <alignment/>
    </xf>
    <xf numFmtId="0" fontId="23" fillId="2" borderId="5" xfId="0" applyFont="1" applyFill="1" applyBorder="1" applyAlignment="1">
      <alignment horizontal="left" vertical="top" wrapText="1"/>
    </xf>
    <xf numFmtId="12"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ill="1" applyBorder="1" applyAlignment="1">
      <alignment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12" fontId="4" fillId="0" borderId="0" xfId="0" applyNumberFormat="1"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181" fontId="9" fillId="0" borderId="0" xfId="0" applyNumberFormat="1" applyFont="1" applyFill="1" applyBorder="1" applyAlignment="1">
      <alignment horizontal="center" vertical="center" wrapText="1"/>
    </xf>
    <xf numFmtId="12" fontId="4" fillId="0" borderId="0" xfId="0" applyNumberFormat="1" applyFont="1" applyFill="1" applyBorder="1" applyAlignment="1" applyProtection="1">
      <alignment horizontal="center" vertical="center" wrapText="1"/>
      <protection/>
    </xf>
    <xf numFmtId="0" fontId="0" fillId="0" borderId="0" xfId="0" applyFill="1" applyBorder="1" applyAlignment="1">
      <alignment vertical="center" wrapText="1"/>
    </xf>
    <xf numFmtId="0" fontId="0" fillId="0" borderId="0" xfId="0" applyFill="1" applyBorder="1" applyAlignment="1">
      <alignment horizontal="center" vertical="top" wrapText="1"/>
    </xf>
    <xf numFmtId="0" fontId="0" fillId="0" borderId="0" xfId="0"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right" wrapText="1"/>
    </xf>
    <xf numFmtId="181" fontId="9" fillId="0" borderId="0" xfId="0" applyNumberFormat="1" applyFont="1" applyFill="1" applyBorder="1" applyAlignment="1">
      <alignment horizontal="left" wrapText="1"/>
    </xf>
    <xf numFmtId="0" fontId="23" fillId="2" borderId="11"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8" xfId="0" applyFont="1" applyFill="1" applyBorder="1" applyAlignment="1">
      <alignment horizontal="left" wrapText="1"/>
    </xf>
    <xf numFmtId="0" fontId="4" fillId="2" borderId="14" xfId="0" applyFont="1" applyFill="1" applyBorder="1" applyAlignment="1" applyProtection="1">
      <alignment horizontal="left" wrapText="1"/>
      <protection hidden="1" locked="0"/>
    </xf>
    <xf numFmtId="12" fontId="23" fillId="2" borderId="8" xfId="0" applyNumberFormat="1" applyFont="1" applyFill="1" applyBorder="1" applyAlignment="1" applyProtection="1">
      <alignment horizontal="left" vertical="top" wrapText="1"/>
      <protection hidden="1" locked="0"/>
    </xf>
    <xf numFmtId="0" fontId="23" fillId="2" borderId="8" xfId="0" applyFont="1" applyFill="1" applyBorder="1" applyAlignment="1" applyProtection="1">
      <alignment vertical="top" wrapText="1"/>
      <protection hidden="1" locked="0"/>
    </xf>
    <xf numFmtId="0" fontId="8" fillId="2" borderId="10" xfId="0" applyFont="1" applyFill="1" applyBorder="1" applyAlignment="1">
      <alignment horizontal="left"/>
    </xf>
    <xf numFmtId="0" fontId="10" fillId="2" borderId="0" xfId="0" applyFont="1" applyFill="1" applyBorder="1" applyAlignment="1">
      <alignment horizontal="right"/>
    </xf>
    <xf numFmtId="180" fontId="10" fillId="2" borderId="0" xfId="0" applyNumberFormat="1" applyFont="1" applyFill="1" applyBorder="1" applyAlignment="1">
      <alignment horizontal="left"/>
    </xf>
    <xf numFmtId="0" fontId="0" fillId="0" borderId="0" xfId="0" applyFill="1" applyBorder="1" applyAlignment="1">
      <alignment vertical="center"/>
    </xf>
    <xf numFmtId="12" fontId="4" fillId="0" borderId="6" xfId="0" applyNumberFormat="1" applyFont="1" applyFill="1" applyBorder="1" applyAlignment="1" applyProtection="1">
      <alignment horizontal="center" vertical="center" wrapText="1"/>
      <protection hidden="1" locked="0"/>
    </xf>
    <xf numFmtId="0" fontId="0" fillId="0" borderId="0" xfId="0" applyFill="1" applyBorder="1" applyAlignment="1">
      <alignment horizontal="left" vertical="top" wrapText="1"/>
    </xf>
    <xf numFmtId="0" fontId="28" fillId="2" borderId="2" xfId="0" applyFont="1" applyFill="1" applyBorder="1" applyAlignment="1">
      <alignment horizontal="center" wrapText="1"/>
    </xf>
    <xf numFmtId="0" fontId="28" fillId="2" borderId="3" xfId="0" applyFont="1" applyFill="1" applyBorder="1" applyAlignment="1">
      <alignment horizontal="center" wrapText="1"/>
    </xf>
    <xf numFmtId="0" fontId="7" fillId="2" borderId="4" xfId="0" applyFont="1" applyFill="1" applyBorder="1" applyAlignment="1">
      <alignment wrapText="1"/>
    </xf>
    <xf numFmtId="0" fontId="0" fillId="0" borderId="0" xfId="0" applyFill="1" applyAlignment="1">
      <alignment/>
    </xf>
    <xf numFmtId="0" fontId="4" fillId="0" borderId="0" xfId="0" applyFont="1" applyFill="1" applyBorder="1" applyAlignment="1">
      <alignment vertical="center"/>
    </xf>
    <xf numFmtId="2" fontId="16" fillId="2" borderId="0" xfId="0" applyNumberFormat="1" applyFont="1" applyFill="1" applyBorder="1" applyAlignment="1">
      <alignment horizontal="right"/>
    </xf>
    <xf numFmtId="0" fontId="30" fillId="2" borderId="7" xfId="0" applyFont="1" applyFill="1" applyBorder="1" applyAlignment="1" applyProtection="1">
      <alignment horizontal="center" vertical="center" wrapText="1"/>
      <protection hidden="1" locked="0"/>
    </xf>
    <xf numFmtId="0" fontId="0" fillId="0" borderId="0" xfId="0" applyFont="1" applyAlignment="1">
      <alignment/>
    </xf>
    <xf numFmtId="0" fontId="7" fillId="2" borderId="5" xfId="0" applyFont="1" applyFill="1" applyBorder="1" applyAlignment="1">
      <alignment horizontal="left"/>
    </xf>
    <xf numFmtId="180" fontId="7" fillId="2" borderId="6" xfId="0" applyNumberFormat="1" applyFont="1" applyFill="1" applyBorder="1" applyAlignment="1">
      <alignment horizontal="left"/>
    </xf>
    <xf numFmtId="0" fontId="7" fillId="2" borderId="12" xfId="0" applyFont="1" applyFill="1" applyBorder="1" applyAlignment="1">
      <alignment horizontal="right"/>
    </xf>
    <xf numFmtId="10" fontId="0" fillId="0" borderId="0" xfId="0" applyNumberFormat="1" applyFont="1" applyAlignment="1">
      <alignment/>
    </xf>
    <xf numFmtId="0" fontId="0" fillId="0" borderId="0" xfId="0" applyFont="1" applyAlignment="1" applyProtection="1">
      <alignment/>
      <protection hidden="1"/>
    </xf>
    <xf numFmtId="0" fontId="0" fillId="0" borderId="10" xfId="0" applyFont="1" applyBorder="1" applyAlignment="1" applyProtection="1">
      <alignment/>
      <protection hidden="1"/>
    </xf>
    <xf numFmtId="0" fontId="0" fillId="0" borderId="0" xfId="0" applyFont="1" applyBorder="1" applyAlignment="1" applyProtection="1">
      <alignment/>
      <protection hidden="1"/>
    </xf>
    <xf numFmtId="0" fontId="0" fillId="0" borderId="7" xfId="0" applyFont="1" applyBorder="1" applyAlignment="1" applyProtection="1">
      <alignment/>
      <protection hidden="1"/>
    </xf>
    <xf numFmtId="0" fontId="0" fillId="0" borderId="8" xfId="0" applyFont="1" applyBorder="1" applyAlignment="1" applyProtection="1">
      <alignment/>
      <protection hidden="1"/>
    </xf>
    <xf numFmtId="0" fontId="30" fillId="2" borderId="6" xfId="0" applyFont="1" applyFill="1" applyBorder="1" applyAlignment="1" applyProtection="1">
      <alignment horizontal="center" vertical="center" wrapText="1"/>
      <protection hidden="1" locked="0"/>
    </xf>
    <xf numFmtId="0" fontId="30" fillId="2" borderId="8" xfId="0" applyFont="1" applyFill="1" applyBorder="1" applyAlignment="1">
      <alignment horizontal="left"/>
    </xf>
    <xf numFmtId="2" fontId="7" fillId="2" borderId="0" xfId="0" applyNumberFormat="1" applyFont="1" applyFill="1" applyBorder="1" applyAlignment="1">
      <alignment horizontal="right"/>
    </xf>
    <xf numFmtId="2" fontId="7" fillId="2" borderId="7" xfId="0" applyNumberFormat="1" applyFont="1" applyFill="1" applyBorder="1" applyAlignment="1">
      <alignment/>
    </xf>
    <xf numFmtId="2" fontId="7" fillId="2" borderId="7" xfId="0" applyNumberFormat="1" applyFont="1" applyFill="1" applyBorder="1" applyAlignment="1">
      <alignment horizontal="left"/>
    </xf>
    <xf numFmtId="2" fontId="7" fillId="2" borderId="10" xfId="0" applyNumberFormat="1" applyFont="1" applyFill="1" applyBorder="1" applyAlignment="1">
      <alignment horizontal="right"/>
    </xf>
    <xf numFmtId="2" fontId="7" fillId="2" borderId="10" xfId="0" applyNumberFormat="1" applyFont="1" applyFill="1" applyBorder="1" applyAlignment="1">
      <alignment/>
    </xf>
    <xf numFmtId="0" fontId="4" fillId="0" borderId="6" xfId="0" applyFont="1" applyFill="1" applyBorder="1" applyAlignment="1" applyProtection="1">
      <alignment horizontal="center" vertical="center" wrapText="1"/>
      <protection hidden="1" locked="0"/>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0" fillId="0" borderId="4" xfId="0" applyFont="1" applyBorder="1" applyAlignment="1">
      <alignment wrapText="1"/>
    </xf>
    <xf numFmtId="0" fontId="24" fillId="3" borderId="12"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0" fillId="0" borderId="6" xfId="0" applyFont="1" applyBorder="1" applyAlignment="1">
      <alignment wrapText="1"/>
    </xf>
    <xf numFmtId="0" fontId="23" fillId="2" borderId="2"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12" xfId="0" applyFill="1" applyBorder="1" applyAlignment="1">
      <alignment vertical="top" wrapText="1"/>
    </xf>
    <xf numFmtId="0" fontId="0" fillId="2" borderId="1" xfId="0" applyFill="1" applyBorder="1" applyAlignment="1">
      <alignment vertical="top" wrapText="1"/>
    </xf>
    <xf numFmtId="0" fontId="0" fillId="2" borderId="6" xfId="0" applyFill="1" applyBorder="1" applyAlignment="1">
      <alignment vertical="top" wrapText="1"/>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5" fillId="0" borderId="4" xfId="0" applyFont="1" applyBorder="1" applyAlignment="1">
      <alignment/>
    </xf>
    <xf numFmtId="0" fontId="23" fillId="2" borderId="14" xfId="0" applyFont="1" applyFill="1" applyBorder="1" applyAlignment="1">
      <alignment vertical="center" wrapText="1"/>
    </xf>
    <xf numFmtId="0" fontId="23" fillId="2" borderId="9" xfId="0" applyFont="1" applyFill="1" applyBorder="1" applyAlignment="1">
      <alignment vertical="center" wrapText="1"/>
    </xf>
    <xf numFmtId="0" fontId="23" fillId="2" borderId="15" xfId="0" applyFont="1" applyFill="1" applyBorder="1" applyAlignment="1">
      <alignment vertical="center" wrapText="1"/>
    </xf>
    <xf numFmtId="0" fontId="23" fillId="2" borderId="14" xfId="0" applyNumberFormat="1" applyFont="1" applyFill="1" applyBorder="1" applyAlignment="1">
      <alignment vertical="center"/>
    </xf>
    <xf numFmtId="0" fontId="26" fillId="2" borderId="9" xfId="0" applyFont="1" applyFill="1" applyBorder="1" applyAlignment="1">
      <alignment/>
    </xf>
    <xf numFmtId="0" fontId="0" fillId="2" borderId="15" xfId="0" applyFill="1" applyBorder="1" applyAlignment="1">
      <alignment/>
    </xf>
    <xf numFmtId="0" fontId="23" fillId="0" borderId="0" xfId="0" applyFont="1" applyFill="1" applyBorder="1" applyAlignment="1">
      <alignment horizontal="left" vertical="top" wrapText="1"/>
    </xf>
    <xf numFmtId="0" fontId="4" fillId="2" borderId="9" xfId="0" applyFont="1" applyFill="1" applyBorder="1" applyAlignment="1" applyProtection="1">
      <alignment horizontal="left" wrapText="1"/>
      <protection hidden="1" locked="0"/>
    </xf>
    <xf numFmtId="0" fontId="4" fillId="2" borderId="15" xfId="0" applyFont="1" applyFill="1" applyBorder="1" applyAlignment="1" applyProtection="1">
      <alignment horizontal="left" wrapText="1"/>
      <protection hidden="1" locked="0"/>
    </xf>
    <xf numFmtId="0" fontId="2" fillId="0" borderId="14" xfId="0" applyFont="1" applyFill="1" applyBorder="1" applyAlignment="1" applyProtection="1">
      <alignment horizontal="center" vertical="center" wrapText="1"/>
      <protection hidden="1" locked="0"/>
    </xf>
    <xf numFmtId="0" fontId="2" fillId="0" borderId="9" xfId="0" applyFont="1" applyFill="1" applyBorder="1" applyAlignment="1" applyProtection="1">
      <alignment horizontal="center" vertical="center" wrapText="1"/>
      <protection hidden="1" locked="0"/>
    </xf>
    <xf numFmtId="0" fontId="2" fillId="0" borderId="15" xfId="0" applyFont="1" applyFill="1" applyBorder="1" applyAlignment="1" applyProtection="1">
      <alignment horizontal="center" vertical="center" wrapText="1"/>
      <protection hidden="1" locked="0"/>
    </xf>
    <xf numFmtId="12" fontId="4" fillId="4" borderId="11" xfId="0" applyNumberFormat="1" applyFont="1" applyFill="1" applyBorder="1" applyAlignment="1" applyProtection="1">
      <alignment horizontal="center" vertical="center" wrapText="1"/>
      <protection hidden="1" locked="0"/>
    </xf>
    <xf numFmtId="0" fontId="0" fillId="0" borderId="5" xfId="0" applyBorder="1" applyAlignment="1">
      <alignment horizontal="center" vertical="center" wrapText="1"/>
    </xf>
    <xf numFmtId="0" fontId="30" fillId="2" borderId="11" xfId="0" applyFont="1" applyFill="1" applyBorder="1" applyAlignment="1" applyProtection="1">
      <alignment horizontal="center" vertical="center" wrapText="1"/>
      <protection hidden="1" locked="0"/>
    </xf>
    <xf numFmtId="0" fontId="0" fillId="2" borderId="5" xfId="0" applyFont="1" applyFill="1" applyBorder="1" applyAlignment="1" applyProtection="1">
      <alignment horizontal="center" vertical="center" wrapText="1"/>
      <protection hidden="1" locked="0"/>
    </xf>
    <xf numFmtId="12" fontId="4" fillId="4" borderId="5" xfId="0" applyNumberFormat="1" applyFont="1" applyFill="1" applyBorder="1" applyAlignment="1" applyProtection="1">
      <alignment horizontal="center" vertical="center" wrapText="1"/>
      <protection hidden="1" locked="0"/>
    </xf>
    <xf numFmtId="0" fontId="4" fillId="2" borderId="11" xfId="0" applyFont="1" applyFill="1" applyBorder="1" applyAlignment="1" applyProtection="1">
      <alignment horizontal="center" vertical="top" wrapText="1"/>
      <protection hidden="1" locked="0"/>
    </xf>
    <xf numFmtId="0" fontId="4" fillId="2" borderId="8" xfId="0" applyFont="1" applyFill="1" applyBorder="1" applyAlignment="1" applyProtection="1">
      <alignment horizontal="center" vertical="top" wrapText="1"/>
      <protection hidden="1" locked="0"/>
    </xf>
    <xf numFmtId="0" fontId="4" fillId="2" borderId="5" xfId="0" applyFont="1" applyFill="1" applyBorder="1" applyAlignment="1" applyProtection="1">
      <alignment horizontal="center" vertical="top" wrapText="1"/>
      <protection hidden="1" locked="0"/>
    </xf>
    <xf numFmtId="0" fontId="8" fillId="2" borderId="2" xfId="0" applyFont="1" applyFill="1" applyBorder="1" applyAlignment="1">
      <alignment horizontal="left"/>
    </xf>
    <xf numFmtId="0" fontId="7" fillId="2" borderId="3" xfId="0" applyFont="1" applyFill="1" applyBorder="1" applyAlignment="1">
      <alignment/>
    </xf>
    <xf numFmtId="0" fontId="12" fillId="2" borderId="2" xfId="0" applyFont="1" applyFill="1" applyBorder="1" applyAlignment="1">
      <alignment horizontal="center"/>
    </xf>
    <xf numFmtId="0" fontId="12" fillId="2" borderId="4" xfId="0" applyFont="1" applyFill="1" applyBorder="1" applyAlignment="1">
      <alignment horizontal="center"/>
    </xf>
    <xf numFmtId="0" fontId="12" fillId="2" borderId="3" xfId="0" applyFont="1" applyFill="1" applyBorder="1" applyAlignment="1">
      <alignment horizontal="center"/>
    </xf>
    <xf numFmtId="0" fontId="30" fillId="2" borderId="11" xfId="0" applyFont="1" applyFill="1" applyBorder="1" applyAlignment="1" applyProtection="1">
      <alignment horizontal="center" vertical="top" wrapText="1"/>
      <protection hidden="1" locked="0"/>
    </xf>
    <xf numFmtId="0" fontId="30" fillId="2" borderId="5" xfId="0" applyFont="1" applyFill="1" applyBorder="1" applyAlignment="1" applyProtection="1">
      <alignment horizontal="center" vertical="top" wrapText="1"/>
      <protection hidden="1" locked="0"/>
    </xf>
    <xf numFmtId="0" fontId="30" fillId="2" borderId="11" xfId="0" applyFont="1" applyFill="1" applyBorder="1" applyAlignment="1" applyProtection="1">
      <alignment vertical="top" wrapText="1"/>
      <protection hidden="1" locked="0"/>
    </xf>
    <xf numFmtId="0" fontId="30" fillId="2" borderId="5" xfId="0" applyFont="1" applyFill="1" applyBorder="1" applyAlignment="1" applyProtection="1">
      <alignment vertical="top" wrapText="1"/>
      <protection hidden="1" locked="0"/>
    </xf>
    <xf numFmtId="0" fontId="30" fillId="0" borderId="11" xfId="0" applyFont="1" applyFill="1" applyBorder="1" applyAlignment="1" applyProtection="1">
      <alignment horizontal="center" vertical="center" wrapText="1"/>
      <protection hidden="1" locked="0"/>
    </xf>
    <xf numFmtId="0" fontId="30" fillId="0" borderId="5" xfId="0" applyFont="1" applyFill="1" applyBorder="1" applyAlignment="1">
      <alignment horizontal="center" vertical="center" wrapText="1"/>
    </xf>
    <xf numFmtId="12" fontId="4" fillId="0" borderId="11" xfId="0" applyNumberFormat="1" applyFont="1" applyFill="1" applyBorder="1" applyAlignment="1" applyProtection="1">
      <alignment horizontal="center" vertical="center" wrapText="1"/>
      <protection hidden="1" locked="0"/>
    </xf>
    <xf numFmtId="0" fontId="0" fillId="0" borderId="8" xfId="0" applyBorder="1" applyAlignment="1">
      <alignment horizontal="center" vertical="center" wrapText="1"/>
    </xf>
    <xf numFmtId="12" fontId="4" fillId="0" borderId="8" xfId="0" applyNumberFormat="1" applyFont="1" applyFill="1" applyBorder="1" applyAlignment="1" applyProtection="1">
      <alignment horizontal="center" vertical="center" wrapText="1"/>
      <protection hidden="1" locked="0"/>
    </xf>
    <xf numFmtId="12" fontId="4" fillId="0" borderId="5" xfId="0" applyNumberFormat="1" applyFont="1" applyFill="1" applyBorder="1" applyAlignment="1" applyProtection="1">
      <alignment horizontal="center" vertical="center" wrapText="1"/>
      <protection hidden="1" locked="0"/>
    </xf>
    <xf numFmtId="12" fontId="11" fillId="2" borderId="8" xfId="0" applyNumberFormat="1" applyFont="1" applyFill="1" applyBorder="1" applyAlignment="1" applyProtection="1">
      <alignment horizontal="left" vertical="top" wrapText="1"/>
      <protection hidden="1" locked="0"/>
    </xf>
    <xf numFmtId="0" fontId="11" fillId="0" borderId="8" xfId="0" applyFont="1" applyBorder="1" applyAlignment="1" applyProtection="1">
      <alignment vertical="top" wrapText="1"/>
      <protection hidden="1" locked="0"/>
    </xf>
    <xf numFmtId="0" fontId="4" fillId="2" borderId="11" xfId="0" applyFont="1" applyFill="1" applyBorder="1" applyAlignment="1" applyProtection="1">
      <alignment vertical="center" wrapText="1"/>
      <protection hidden="1" locked="0"/>
    </xf>
    <xf numFmtId="0" fontId="4" fillId="2" borderId="5" xfId="0" applyFont="1" applyFill="1" applyBorder="1" applyAlignment="1" applyProtection="1">
      <alignment vertical="center" wrapText="1"/>
      <protection hidden="1" locked="0"/>
    </xf>
    <xf numFmtId="0" fontId="11" fillId="2" borderId="4" xfId="0" applyFont="1" applyFill="1" applyBorder="1" applyAlignment="1">
      <alignment horizontal="center"/>
    </xf>
    <xf numFmtId="0" fontId="12" fillId="2" borderId="12"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14" xfId="0" applyFont="1" applyFill="1" applyBorder="1" applyAlignment="1">
      <alignment horizontal="center"/>
    </xf>
    <xf numFmtId="0" fontId="11" fillId="2" borderId="6" xfId="0" applyFont="1" applyFill="1" applyBorder="1" applyAlignment="1">
      <alignment horizontal="center"/>
    </xf>
    <xf numFmtId="9" fontId="11" fillId="2" borderId="10" xfId="0" applyNumberFormat="1" applyFont="1" applyFill="1" applyBorder="1" applyAlignment="1">
      <alignment horizontal="left"/>
    </xf>
    <xf numFmtId="9" fontId="11" fillId="2" borderId="0" xfId="0" applyNumberFormat="1" applyFont="1" applyFill="1" applyBorder="1" applyAlignment="1">
      <alignment horizontal="left"/>
    </xf>
    <xf numFmtId="0" fontId="11" fillId="2" borderId="10" xfId="0" applyFont="1" applyFill="1" applyBorder="1" applyAlignment="1">
      <alignment wrapText="1"/>
    </xf>
    <xf numFmtId="0" fontId="0" fillId="0" borderId="0" xfId="0" applyBorder="1" applyAlignment="1">
      <alignment/>
    </xf>
    <xf numFmtId="0" fontId="0" fillId="0" borderId="7" xfId="0" applyBorder="1" applyAlignment="1">
      <alignment/>
    </xf>
    <xf numFmtId="0" fontId="0" fillId="0" borderId="12" xfId="0" applyBorder="1" applyAlignment="1">
      <alignment/>
    </xf>
    <xf numFmtId="0" fontId="0" fillId="0" borderId="1" xfId="0" applyBorder="1" applyAlignment="1">
      <alignment/>
    </xf>
    <xf numFmtId="0" fontId="0" fillId="0" borderId="6" xfId="0" applyBorder="1" applyAlignment="1">
      <alignment/>
    </xf>
    <xf numFmtId="0" fontId="12" fillId="2" borderId="2" xfId="0" applyFont="1" applyFill="1" applyBorder="1" applyAlignment="1">
      <alignment horizontal="left"/>
    </xf>
    <xf numFmtId="0" fontId="0" fillId="0" borderId="3" xfId="0" applyBorder="1" applyAlignment="1">
      <alignment horizontal="left"/>
    </xf>
    <xf numFmtId="0" fontId="4" fillId="4" borderId="11" xfId="0" applyFont="1" applyFill="1" applyBorder="1" applyAlignment="1" applyProtection="1">
      <alignment horizontal="center" vertical="center" wrapText="1"/>
      <protection hidden="1" locked="0"/>
    </xf>
    <xf numFmtId="0" fontId="4" fillId="4" borderId="5" xfId="0" applyFont="1" applyFill="1" applyBorder="1" applyAlignment="1" applyProtection="1">
      <alignment horizontal="center" vertical="center" wrapText="1"/>
      <protection hidden="1" locked="0"/>
    </xf>
    <xf numFmtId="0" fontId="12" fillId="2" borderId="2" xfId="0" applyFont="1" applyFill="1" applyBorder="1" applyAlignment="1">
      <alignment/>
    </xf>
    <xf numFmtId="0" fontId="0" fillId="0" borderId="3" xfId="0" applyBorder="1" applyAlignment="1">
      <alignment/>
    </xf>
    <xf numFmtId="0" fontId="0" fillId="0" borderId="4" xfId="0" applyBorder="1" applyAlignment="1">
      <alignment/>
    </xf>
    <xf numFmtId="0" fontId="11" fillId="2" borderId="0" xfId="0" applyFont="1" applyFill="1" applyBorder="1" applyAlignment="1">
      <alignment horizontal="right"/>
    </xf>
    <xf numFmtId="0" fontId="20" fillId="0" borderId="0" xfId="0" applyFont="1" applyBorder="1" applyAlignment="1">
      <alignment horizontal="right"/>
    </xf>
    <xf numFmtId="0" fontId="11" fillId="2" borderId="1" xfId="0" applyFont="1" applyFill="1" applyBorder="1" applyAlignment="1">
      <alignment horizontal="right"/>
    </xf>
    <xf numFmtId="0" fontId="20" fillId="0" borderId="1" xfId="0" applyFont="1" applyBorder="1" applyAlignment="1">
      <alignment horizontal="right"/>
    </xf>
    <xf numFmtId="0" fontId="4" fillId="2" borderId="11" xfId="0" applyFont="1" applyFill="1" applyBorder="1" applyAlignment="1" applyProtection="1">
      <alignment vertical="top" wrapText="1"/>
      <protection hidden="1" locked="0"/>
    </xf>
    <xf numFmtId="0" fontId="0" fillId="0" borderId="8" xfId="0" applyBorder="1" applyAlignment="1" applyProtection="1">
      <alignment vertical="top"/>
      <protection hidden="1" locked="0"/>
    </xf>
    <xf numFmtId="0" fontId="11" fillId="2" borderId="0" xfId="0" applyFont="1" applyFill="1" applyAlignment="1">
      <alignment horizontal="right"/>
    </xf>
    <xf numFmtId="0" fontId="20" fillId="0" borderId="0" xfId="0" applyFont="1" applyAlignment="1">
      <alignment horizontal="right"/>
    </xf>
    <xf numFmtId="0" fontId="0" fillId="2" borderId="5" xfId="0" applyFont="1" applyFill="1" applyBorder="1" applyAlignment="1" applyProtection="1">
      <alignment vertical="center" wrapText="1"/>
      <protection hidden="1" locked="0"/>
    </xf>
    <xf numFmtId="0" fontId="3"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5" xfId="0" applyFill="1" applyBorder="1" applyAlignment="1">
      <alignment horizontal="center" vertical="center"/>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7" xfId="0" applyFill="1" applyBorder="1" applyAlignment="1">
      <alignment vertical="center" wrapText="1"/>
    </xf>
    <xf numFmtId="0" fontId="0" fillId="0" borderId="1" xfId="0" applyFill="1" applyBorder="1" applyAlignment="1">
      <alignment wrapText="1"/>
    </xf>
    <xf numFmtId="0" fontId="0" fillId="0" borderId="6" xfId="0" applyFill="1" applyBorder="1" applyAlignment="1">
      <alignment wrapText="1"/>
    </xf>
    <xf numFmtId="0" fontId="4" fillId="3" borderId="10" xfId="0" applyFont="1" applyFill="1" applyBorder="1" applyAlignment="1">
      <alignment vertical="center" wrapText="1"/>
    </xf>
    <xf numFmtId="0" fontId="4" fillId="3" borderId="7" xfId="0" applyFont="1" applyFill="1" applyBorder="1" applyAlignment="1">
      <alignment/>
    </xf>
    <xf numFmtId="0" fontId="4" fillId="3" borderId="7" xfId="0" applyFont="1" applyFill="1" applyBorder="1" applyAlignment="1">
      <alignment vertical="center"/>
    </xf>
    <xf numFmtId="0" fontId="4" fillId="0" borderId="0" xfId="0" applyNumberFormat="1" applyFont="1" applyFill="1" applyBorder="1" applyAlignment="1">
      <alignment vertical="center"/>
    </xf>
    <xf numFmtId="0" fontId="4" fillId="0" borderId="1" xfId="0" applyNumberFormat="1" applyFont="1" applyFill="1" applyBorder="1" applyAlignment="1">
      <alignment vertical="center"/>
    </xf>
    <xf numFmtId="0" fontId="4" fillId="3" borderId="7" xfId="0" applyFont="1" applyFill="1" applyBorder="1" applyAlignment="1">
      <alignment vertical="center" wrapText="1"/>
    </xf>
    <xf numFmtId="0" fontId="4" fillId="3" borderId="12" xfId="0" applyFont="1" applyFill="1" applyBorder="1" applyAlignment="1">
      <alignment vertical="center" wrapText="1"/>
    </xf>
    <xf numFmtId="0" fontId="4" fillId="3" borderId="6" xfId="0" applyFont="1" applyFill="1" applyBorder="1" applyAlignment="1">
      <alignment vertical="center"/>
    </xf>
    <xf numFmtId="2" fontId="34" fillId="6" borderId="6" xfId="0" applyNumberFormat="1" applyFont="1" applyFill="1" applyBorder="1" applyAlignment="1" applyProtection="1">
      <alignment horizontal="center" vertical="center" wrapText="1"/>
      <protection hidden="1" locked="0"/>
    </xf>
    <xf numFmtId="1" fontId="34" fillId="6" borderId="1" xfId="0" applyNumberFormat="1" applyFont="1" applyFill="1" applyBorder="1" applyAlignment="1" applyProtection="1">
      <alignment horizontal="center" vertical="center" wrapText="1"/>
      <protection hidden="1" locked="0"/>
    </xf>
    <xf numFmtId="12" fontId="22" fillId="6" borderId="14" xfId="0" applyNumberFormat="1" applyFont="1" applyFill="1" applyBorder="1" applyAlignment="1" applyProtection="1">
      <alignment horizontal="left" wrapText="1"/>
      <protection hidden="1" locked="0"/>
    </xf>
    <xf numFmtId="0" fontId="18" fillId="6" borderId="15" xfId="0" applyFont="1" applyFill="1" applyBorder="1" applyAlignment="1">
      <alignment/>
    </xf>
    <xf numFmtId="0" fontId="35" fillId="2" borderId="11" xfId="0" applyFont="1" applyFill="1" applyBorder="1" applyAlignment="1">
      <alignment horizontal="center" vertical="top" wrapText="1"/>
    </xf>
    <xf numFmtId="0" fontId="35" fillId="2" borderId="11" xfId="0" applyFont="1" applyFill="1" applyBorder="1" applyAlignment="1">
      <alignment vertical="top" wrapText="1"/>
    </xf>
    <xf numFmtId="0" fontId="35" fillId="2" borderId="11" xfId="0" applyFont="1" applyFill="1" applyBorder="1" applyAlignment="1">
      <alignment vertical="center" wrapText="1"/>
    </xf>
    <xf numFmtId="12" fontId="35" fillId="2" borderId="11" xfId="0" applyNumberFormat="1" applyFont="1" applyFill="1" applyBorder="1" applyAlignment="1" applyProtection="1">
      <alignment horizontal="center" vertical="center" wrapText="1"/>
      <protection/>
    </xf>
    <xf numFmtId="12" fontId="35" fillId="4" borderId="11" xfId="0" applyNumberFormat="1" applyFont="1" applyFill="1" applyBorder="1" applyAlignment="1" applyProtection="1">
      <alignment horizontal="center" vertical="center" wrapText="1"/>
      <protection/>
    </xf>
    <xf numFmtId="12" fontId="35" fillId="0" borderId="11" xfId="0" applyNumberFormat="1" applyFont="1" applyFill="1" applyBorder="1" applyAlignment="1" applyProtection="1">
      <alignment horizontal="center" vertical="center" wrapText="1"/>
      <protection/>
    </xf>
    <xf numFmtId="0" fontId="35" fillId="2" borderId="11" xfId="0" applyFont="1" applyFill="1" applyBorder="1" applyAlignment="1" applyProtection="1">
      <alignment horizontal="center" vertical="center" wrapText="1"/>
      <protection/>
    </xf>
    <xf numFmtId="0" fontId="35" fillId="2" borderId="8" xfId="0" applyFont="1" applyFill="1" applyBorder="1" applyAlignment="1">
      <alignment horizontal="center" vertical="top" wrapText="1"/>
    </xf>
    <xf numFmtId="12" fontId="36" fillId="2" borderId="8" xfId="0" applyNumberFormat="1" applyFont="1" applyFill="1" applyBorder="1" applyAlignment="1" applyProtection="1">
      <alignment horizontal="left" vertical="top" wrapText="1"/>
      <protection hidden="1" locked="0"/>
    </xf>
    <xf numFmtId="0" fontId="35" fillId="2" borderId="5" xfId="0" applyFont="1" applyFill="1" applyBorder="1" applyAlignment="1">
      <alignment vertical="center" wrapText="1"/>
    </xf>
    <xf numFmtId="12" fontId="35" fillId="2" borderId="5" xfId="0" applyNumberFormat="1" applyFont="1" applyFill="1" applyBorder="1" applyAlignment="1" applyProtection="1">
      <alignment horizontal="center" vertical="center" wrapText="1"/>
      <protection/>
    </xf>
    <xf numFmtId="12" fontId="35" fillId="4" borderId="5" xfId="0" applyNumberFormat="1" applyFont="1" applyFill="1" applyBorder="1" applyAlignment="1" applyProtection="1">
      <alignment horizontal="center" vertical="center" wrapText="1"/>
      <protection/>
    </xf>
    <xf numFmtId="0" fontId="37" fillId="0" borderId="8" xfId="0" applyFont="1" applyBorder="1" applyAlignment="1">
      <alignment horizontal="center" vertical="center" wrapText="1"/>
    </xf>
    <xf numFmtId="0" fontId="37" fillId="2" borderId="5" xfId="0" applyFont="1" applyFill="1" applyBorder="1" applyAlignment="1">
      <alignment vertical="center" wrapText="1"/>
    </xf>
    <xf numFmtId="0" fontId="35" fillId="2" borderId="5" xfId="0" applyFont="1" applyFill="1" applyBorder="1" applyAlignment="1" applyProtection="1">
      <alignment horizontal="center" vertical="center" wrapText="1"/>
      <protection/>
    </xf>
    <xf numFmtId="0" fontId="36" fillId="0" borderId="8" xfId="0" applyFont="1" applyBorder="1" applyAlignment="1" applyProtection="1">
      <alignment vertical="top" wrapText="1"/>
      <protection hidden="1" locked="0"/>
    </xf>
    <xf numFmtId="0" fontId="35" fillId="2" borderId="8" xfId="0" applyFont="1" applyFill="1" applyBorder="1" applyAlignment="1">
      <alignment vertical="top" wrapText="1"/>
    </xf>
    <xf numFmtId="0" fontId="38" fillId="2" borderId="8" xfId="0" applyFont="1" applyFill="1" applyBorder="1" applyAlignment="1">
      <alignment vertical="top" wrapText="1"/>
    </xf>
    <xf numFmtId="0" fontId="37" fillId="0" borderId="8" xfId="0" applyFont="1" applyBorder="1" applyAlignment="1">
      <alignment vertical="top" wrapText="1"/>
    </xf>
    <xf numFmtId="12" fontId="35" fillId="4" borderId="11" xfId="0" applyNumberFormat="1" applyFont="1" applyFill="1" applyBorder="1" applyAlignment="1" applyProtection="1">
      <alignment horizontal="center" vertical="center" wrapText="1"/>
      <protection locked="0"/>
    </xf>
    <xf numFmtId="0" fontId="35" fillId="2" borderId="5" xfId="0" applyFont="1" applyFill="1" applyBorder="1" applyAlignment="1">
      <alignment horizontal="center" vertical="top" wrapText="1"/>
    </xf>
    <xf numFmtId="0" fontId="37" fillId="0" borderId="5" xfId="0" applyFont="1" applyBorder="1" applyAlignment="1">
      <alignment vertical="top" wrapText="1"/>
    </xf>
    <xf numFmtId="12" fontId="39" fillId="2" borderId="5" xfId="0" applyNumberFormat="1" applyFont="1" applyFill="1" applyBorder="1" applyAlignment="1" applyProtection="1">
      <alignment horizontal="center" vertical="center" wrapText="1"/>
      <protection/>
    </xf>
    <xf numFmtId="0" fontId="37" fillId="0" borderId="5"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42</xdr:row>
      <xdr:rowOff>104775</xdr:rowOff>
    </xdr:from>
    <xdr:to>
      <xdr:col>9</xdr:col>
      <xdr:colOff>609600</xdr:colOff>
      <xdr:row>65</xdr:row>
      <xdr:rowOff>95250</xdr:rowOff>
    </xdr:to>
    <xdr:sp>
      <xdr:nvSpPr>
        <xdr:cNvPr id="1" name="TextBox 1"/>
        <xdr:cNvSpPr txBox="1">
          <a:spLocks noChangeArrowheads="1"/>
        </xdr:cNvSpPr>
      </xdr:nvSpPr>
      <xdr:spPr>
        <a:xfrm>
          <a:off x="1514475" y="8010525"/>
          <a:ext cx="6410325" cy="407670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 Beschreibung der </a:t>
          </a:r>
          <a:r>
            <a:rPr lang="en-US" cap="none" sz="1000" b="1" i="1" u="none" baseline="0">
              <a:latin typeface="Times New Roman"/>
              <a:ea typeface="Times New Roman"/>
              <a:cs typeface="Times New Roman"/>
            </a:rPr>
            <a:t>Bettenhäuser Industriebahn </a:t>
          </a:r>
          <a:r>
            <a:rPr lang="en-US" cap="none" sz="1000" b="1" i="0" u="none" baseline="0">
              <a:latin typeface="Times New Roman"/>
              <a:ea typeface="Times New Roman"/>
              <a:cs typeface="Times New Roman"/>
            </a:rPr>
            <a:t>(Awanst) </a:t>
          </a:r>
          <a:r>
            <a:rPr lang="en-US" cap="none" sz="1000" b="0" i="0" u="none" baseline="0">
              <a:latin typeface="Times New Roman"/>
              <a:ea typeface="Times New Roman"/>
              <a:cs typeface="Times New Roman"/>
            </a:rPr>
            <a:t>
An der Industriebahn sind folgende Betriebe angeschlossen:
1. Bachman; Schrotthandel
2. Wagner&amp; Sohn; Spedition
3. Ponndorf; Apparatebau
4. Deutsche See; Fischgroßhandel (Eilgut)
5. Metzeler; Schaumstoffwerk </a:t>
          </a:r>
          <a:r>
            <a:rPr lang="en-US" cap="none" sz="1200" b="0" i="0" u="none" baseline="0">
              <a:solidFill>
                <a:srgbClr val="FF0000"/>
              </a:solidFill>
              <a:latin typeface="Times New Roman"/>
              <a:ea typeface="Times New Roman"/>
              <a:cs typeface="Times New Roman"/>
            </a:rPr>
            <a:t>(in Braunlage nich dabei)</a:t>
          </a:r>
          <a:r>
            <a:rPr lang="en-US" cap="none" sz="1000" b="0" i="0" u="none" baseline="0">
              <a:latin typeface="Times New Roman"/>
              <a:ea typeface="Times New Roman"/>
              <a:cs typeface="Times New Roman"/>
            </a:rPr>
            <a:t>
Die Industriebahn sollte an der freien Strecke angeortnet werden und von einem leistungsfähigen Bahnhof (eventuell auch direkt vom Schattenbahnhof), min. </a:t>
          </a:r>
          <a:r>
            <a:rPr lang="en-US" cap="none" sz="1000" b="1" i="0" u="none" baseline="0">
              <a:latin typeface="Times New Roman"/>
              <a:ea typeface="Times New Roman"/>
              <a:cs typeface="Times New Roman"/>
            </a:rPr>
            <a:t>2mal täglich</a:t>
          </a:r>
          <a:r>
            <a:rPr lang="en-US" cap="none" sz="1000" b="0" i="0" u="none" baseline="0">
              <a:latin typeface="Times New Roman"/>
              <a:ea typeface="Times New Roman"/>
              <a:cs typeface="Times New Roman"/>
            </a:rPr>
            <a:t>, bedient werden. Der Wagendurchsatz liegt bei etwa </a:t>
          </a:r>
          <a:r>
            <a:rPr lang="en-US" cap="none" sz="1000" b="1" i="0" u="none" baseline="0">
              <a:latin typeface="Times New Roman"/>
              <a:ea typeface="Times New Roman"/>
              <a:cs typeface="Times New Roman"/>
            </a:rPr>
            <a:t>15 Wagen/Tag </a:t>
          </a:r>
          <a:r>
            <a:rPr lang="en-US" cap="none" sz="1000" b="0" i="0" u="none" baseline="0">
              <a:latin typeface="Times New Roman"/>
              <a:ea typeface="Times New Roman"/>
              <a:cs typeface="Times New Roman"/>
            </a:rPr>
            <a:t>(Aufteilung siehe Tabelle). Die Bedienug der Awanst kann mit Übergaben oder mit Ng´s erfolgen. Die Verteilung der Wagen für die einzelnen Anschließer innerhalb der Industriebahn wird dann mit einer Werkslok (Köf II, bringe ich mit) vorgenommen. Die Reihung der an- und abgehenden Wagen ist bunt. Im Anschluss ist eine Umfahrmöglichkeit mit 2,3 m Nutzlänge vorhanden, nur die im Plan gelb markierten Gleise dürfen  von DB (Streckenloks) befahren werden.
Die Anschlußweiche ist mit einen Schnüssel verschlossen. Der Schlüssel ist von der bedienenden Zugmanschaft mitzubringen, eventuell Schlüssel-Umlauf beachten.
</a:t>
          </a:r>
          <a:r>
            <a:rPr lang="en-US" cap="none" sz="1000" b="1" i="1" u="none" baseline="0">
              <a:latin typeface="Times New Roman"/>
              <a:ea typeface="Times New Roman"/>
              <a:cs typeface="Times New Roman"/>
            </a:rPr>
            <a:t>Einbau ins Arrangement:</a:t>
          </a:r>
          <a:r>
            <a:rPr lang="en-US" cap="none" sz="1000" b="0" i="0" u="none" baseline="0">
              <a:latin typeface="Times New Roman"/>
              <a:ea typeface="Times New Roman"/>
              <a:cs typeface="Times New Roman"/>
            </a:rPr>
            <a:t> 
Streckenmodul 1,75 m lang, an beiden Enden B88 Profiel, Bergseite=Bedienerseite.
Die Industriebahn kann zwischen Modul Wagner&amp;Sohn und Ponndorf und zwischen Wagner&amp;Sohn und Deutsche See beliebig erweitert werden (F 96 Profiel).
Bei Rückfragen: René Pabst Tel.: 0561/527802</a:t>
          </a:r>
          <a:r>
            <a:rPr lang="en-US" cap="none" sz="11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dimension ref="A5:I31"/>
  <sheetViews>
    <sheetView zoomScaleSheetLayoutView="100" workbookViewId="0" topLeftCell="A1">
      <selection activeCell="G14" sqref="G14"/>
    </sheetView>
  </sheetViews>
  <sheetFormatPr defaultColWidth="11.421875" defaultRowHeight="12.75"/>
  <cols>
    <col min="2" max="2" width="8.8515625" style="0" customWidth="1"/>
    <col min="3" max="3" width="5.57421875" style="30" customWidth="1"/>
    <col min="4" max="4" width="10.28125" style="30" customWidth="1"/>
    <col min="5" max="5" width="9.00390625" style="104" customWidth="1"/>
    <col min="6" max="6" width="11.8515625" style="0" customWidth="1"/>
    <col min="7" max="7" width="6.7109375" style="0" customWidth="1"/>
    <col min="8" max="8" width="20.140625" style="30" customWidth="1"/>
  </cols>
  <sheetData>
    <row r="5" spans="2:8" ht="24.75" customHeight="1">
      <c r="B5" s="261" t="s">
        <v>110</v>
      </c>
      <c r="C5" s="262"/>
      <c r="D5" s="262"/>
      <c r="E5" s="262"/>
      <c r="F5" s="262"/>
      <c r="G5" s="262"/>
      <c r="H5" s="263"/>
    </row>
    <row r="6" spans="2:8" ht="15.75">
      <c r="B6" s="145" t="s">
        <v>92</v>
      </c>
      <c r="C6" s="141" t="s">
        <v>93</v>
      </c>
      <c r="D6" s="145" t="s">
        <v>94</v>
      </c>
      <c r="E6" s="142" t="s">
        <v>5</v>
      </c>
      <c r="F6" s="148" t="s">
        <v>96</v>
      </c>
      <c r="G6" s="141" t="s">
        <v>103</v>
      </c>
      <c r="H6" s="141" t="s">
        <v>105</v>
      </c>
    </row>
    <row r="7" spans="2:8" ht="15.75">
      <c r="B7" s="146" t="s">
        <v>97</v>
      </c>
      <c r="C7" s="147" t="s">
        <v>95</v>
      </c>
      <c r="D7" s="146">
        <v>1</v>
      </c>
      <c r="E7" s="143" t="s">
        <v>18</v>
      </c>
      <c r="F7" s="149" t="s">
        <v>30</v>
      </c>
      <c r="G7" s="140" t="s">
        <v>104</v>
      </c>
      <c r="H7" s="139" t="s">
        <v>111</v>
      </c>
    </row>
    <row r="8" spans="2:8" ht="15.75">
      <c r="B8" s="146"/>
      <c r="C8" s="140"/>
      <c r="D8" s="146">
        <v>3</v>
      </c>
      <c r="E8" s="143" t="s">
        <v>102</v>
      </c>
      <c r="F8" s="149" t="s">
        <v>25</v>
      </c>
      <c r="G8" s="140">
        <v>4</v>
      </c>
      <c r="H8" s="139"/>
    </row>
    <row r="9" spans="2:8" ht="15.75">
      <c r="B9" s="145"/>
      <c r="C9" s="141"/>
      <c r="D9" s="145">
        <v>1</v>
      </c>
      <c r="E9" s="142" t="s">
        <v>29</v>
      </c>
      <c r="F9" s="148" t="s">
        <v>108</v>
      </c>
      <c r="G9" s="141">
        <v>5</v>
      </c>
      <c r="H9" s="138" t="s">
        <v>109</v>
      </c>
    </row>
    <row r="10" spans="2:8" ht="15.75">
      <c r="B10" s="146" t="s">
        <v>98</v>
      </c>
      <c r="C10" s="140" t="s">
        <v>95</v>
      </c>
      <c r="D10" s="146">
        <v>3</v>
      </c>
      <c r="E10" s="143" t="s">
        <v>102</v>
      </c>
      <c r="F10" s="149" t="s">
        <v>25</v>
      </c>
      <c r="G10" s="140">
        <v>4</v>
      </c>
      <c r="H10" s="139"/>
    </row>
    <row r="11" spans="2:8" ht="15.75">
      <c r="B11" s="171"/>
      <c r="C11" s="171"/>
      <c r="D11" s="166">
        <v>2</v>
      </c>
      <c r="E11" s="167" t="s">
        <v>29</v>
      </c>
      <c r="F11" s="167" t="s">
        <v>108</v>
      </c>
      <c r="G11" s="145">
        <v>5</v>
      </c>
      <c r="H11" s="165" t="s">
        <v>109</v>
      </c>
    </row>
    <row r="12" spans="2:8" ht="6.75" customHeight="1">
      <c r="B12" s="169"/>
      <c r="C12" s="152"/>
      <c r="D12" s="152"/>
      <c r="E12" s="168"/>
      <c r="F12" s="168"/>
      <c r="G12" s="152"/>
      <c r="H12" s="170"/>
    </row>
    <row r="13" spans="2:8" ht="17.25" customHeight="1">
      <c r="B13" s="146" t="s">
        <v>99</v>
      </c>
      <c r="C13" s="140" t="s">
        <v>100</v>
      </c>
      <c r="D13" s="146">
        <v>3</v>
      </c>
      <c r="E13" s="143" t="s">
        <v>102</v>
      </c>
      <c r="F13" s="149" t="s">
        <v>25</v>
      </c>
      <c r="G13" s="140">
        <v>4</v>
      </c>
      <c r="H13" s="139"/>
    </row>
    <row r="14" spans="2:8" ht="15.75">
      <c r="B14" s="145"/>
      <c r="C14" s="141"/>
      <c r="D14" s="145">
        <v>1</v>
      </c>
      <c r="E14" s="142" t="s">
        <v>29</v>
      </c>
      <c r="F14" s="148" t="s">
        <v>108</v>
      </c>
      <c r="G14" s="141">
        <v>5</v>
      </c>
      <c r="H14" s="138" t="s">
        <v>109</v>
      </c>
    </row>
    <row r="15" spans="2:8" ht="15.75">
      <c r="B15" s="146" t="s">
        <v>101</v>
      </c>
      <c r="C15" s="140" t="s">
        <v>100</v>
      </c>
      <c r="D15" s="146">
        <v>3</v>
      </c>
      <c r="E15" s="143" t="s">
        <v>102</v>
      </c>
      <c r="F15" s="149" t="s">
        <v>25</v>
      </c>
      <c r="G15" s="140">
        <v>4</v>
      </c>
      <c r="H15" s="139"/>
    </row>
    <row r="16" spans="2:8" ht="15.75">
      <c r="B16" s="144"/>
      <c r="C16" s="145"/>
      <c r="D16" s="166">
        <v>1</v>
      </c>
      <c r="E16" s="167" t="s">
        <v>27</v>
      </c>
      <c r="F16" s="167" t="s">
        <v>25</v>
      </c>
      <c r="G16" s="145">
        <v>8</v>
      </c>
      <c r="H16" s="165"/>
    </row>
    <row r="17" spans="2:8" ht="12.75">
      <c r="B17" s="58" t="s">
        <v>67</v>
      </c>
      <c r="C17" s="172"/>
      <c r="D17" s="173" t="str">
        <f>SUM(D7:D16)&amp;" Wagen"</f>
        <v>18 Wagen</v>
      </c>
      <c r="E17" s="164"/>
      <c r="F17" s="29"/>
      <c r="G17" s="29"/>
      <c r="H17" s="163"/>
    </row>
    <row r="18" spans="2:7" ht="12.75">
      <c r="B18" s="29"/>
      <c r="C18" s="163"/>
      <c r="D18" s="163"/>
      <c r="E18" s="164"/>
      <c r="F18" s="29"/>
      <c r="G18" s="29"/>
    </row>
    <row r="19" spans="2:8" ht="12.75">
      <c r="B19" s="29"/>
      <c r="C19" s="163"/>
      <c r="D19" s="163"/>
      <c r="E19" s="164"/>
      <c r="F19" s="29"/>
      <c r="G19" s="29"/>
      <c r="H19" s="163"/>
    </row>
    <row r="20" spans="2:8" ht="8.25" customHeight="1">
      <c r="B20" s="29"/>
      <c r="C20" s="163"/>
      <c r="D20" s="163"/>
      <c r="E20" s="164"/>
      <c r="F20" s="29"/>
      <c r="G20" s="29"/>
      <c r="H20" s="163"/>
    </row>
    <row r="21" spans="2:8" ht="12.75">
      <c r="B21" s="29"/>
      <c r="C21" s="163"/>
      <c r="D21" s="163"/>
      <c r="E21" s="164"/>
      <c r="F21" s="29"/>
      <c r="G21" s="29"/>
      <c r="H21" s="163"/>
    </row>
    <row r="22" spans="2:8" ht="12.75">
      <c r="B22" s="29"/>
      <c r="C22" s="163"/>
      <c r="D22" s="163"/>
      <c r="E22" s="164"/>
      <c r="F22" s="29"/>
      <c r="G22" s="29"/>
      <c r="H22" s="163"/>
    </row>
    <row r="23" spans="2:8" ht="12" customHeight="1">
      <c r="B23" s="249" t="s">
        <v>112</v>
      </c>
      <c r="C23" s="250"/>
      <c r="D23" s="250"/>
      <c r="E23" s="250"/>
      <c r="F23" s="250"/>
      <c r="G23" s="250"/>
      <c r="H23" s="251"/>
    </row>
    <row r="24" spans="2:8" ht="12" customHeight="1">
      <c r="B24" s="252"/>
      <c r="C24" s="253"/>
      <c r="D24" s="253"/>
      <c r="E24" s="253"/>
      <c r="F24" s="253"/>
      <c r="G24" s="253"/>
      <c r="H24" s="254"/>
    </row>
    <row r="25" spans="2:8" ht="16.5" customHeight="1">
      <c r="B25" s="264" t="s">
        <v>26</v>
      </c>
      <c r="C25" s="265"/>
      <c r="D25" s="266"/>
      <c r="E25" s="267" t="str">
        <f>"Empfang von "&amp;ROUNDDOWN(Anschließer!G34*20,0)&amp;" Kesselwagen"</f>
        <v>Empfang von 0 Kesselwagen</v>
      </c>
      <c r="F25" s="268"/>
      <c r="G25" s="268"/>
      <c r="H25" s="269"/>
    </row>
    <row r="26" spans="2:8" ht="16.5" customHeight="1">
      <c r="B26" s="264" t="s">
        <v>80</v>
      </c>
      <c r="C26" s="265"/>
      <c r="D26" s="266"/>
      <c r="E26" s="267" t="str">
        <f>"Empfang von "&amp;ROUNDDOWN(Anschließer!G36*20,0)&amp;" Kesselwagen"</f>
        <v>Empfang von 0 Kesselwagen</v>
      </c>
      <c r="F26" s="268"/>
      <c r="G26" s="268"/>
      <c r="H26" s="269"/>
    </row>
    <row r="27" spans="2:8" ht="16.5" customHeight="1">
      <c r="B27" s="264" t="s">
        <v>28</v>
      </c>
      <c r="C27" s="265"/>
      <c r="D27" s="266"/>
      <c r="E27" s="267" t="str">
        <f>"Empfang von "&amp;ROUNDDOWN(Anschließer!G38*20,0)&amp;" Kesselwagen"</f>
        <v>Empfang von 0 Kesselwagen</v>
      </c>
      <c r="F27" s="268"/>
      <c r="G27" s="268"/>
      <c r="H27" s="269"/>
    </row>
    <row r="28" spans="2:8" ht="18" customHeight="1">
      <c r="B28" s="255" t="s">
        <v>106</v>
      </c>
      <c r="C28" s="256"/>
      <c r="D28" s="257"/>
      <c r="E28" s="255" t="str">
        <f>"Versand von ca. "&amp;Anschließer!F40*20*90&amp;" Kubikmeter Schaumstoff in "&amp;Anschließer!F40*20&amp;" geschlossenen Güterwagen."</f>
        <v>Versand von ca. 0 Kubikmeter Schaumstoff in 0 geschlossenen Güterwagen.</v>
      </c>
      <c r="F28" s="256"/>
      <c r="G28" s="256"/>
      <c r="H28" s="257"/>
    </row>
    <row r="29" spans="2:8" ht="18" customHeight="1">
      <c r="B29" s="258"/>
      <c r="C29" s="259"/>
      <c r="D29" s="260"/>
      <c r="E29" s="258"/>
      <c r="F29" s="259"/>
      <c r="G29" s="259"/>
      <c r="H29" s="260"/>
    </row>
    <row r="30" spans="1:9" ht="13.5" customHeight="1">
      <c r="A30" s="153"/>
      <c r="B30" s="154"/>
      <c r="C30" s="154"/>
      <c r="D30" s="154"/>
      <c r="E30" s="155"/>
      <c r="F30" s="155"/>
      <c r="G30" s="155"/>
      <c r="H30" s="155"/>
      <c r="I30" s="153"/>
    </row>
    <row r="31" spans="1:9" ht="12.75">
      <c r="A31" s="153"/>
      <c r="B31" s="153"/>
      <c r="C31" s="156"/>
      <c r="D31" s="156"/>
      <c r="E31" s="157"/>
      <c r="F31" s="153"/>
      <c r="G31" s="153"/>
      <c r="H31" s="156"/>
      <c r="I31" s="153"/>
    </row>
  </sheetData>
  <mergeCells count="10">
    <mergeCell ref="B23:H24"/>
    <mergeCell ref="B28:D29"/>
    <mergeCell ref="E28:H29"/>
    <mergeCell ref="B5:H5"/>
    <mergeCell ref="B27:D27"/>
    <mergeCell ref="B26:D26"/>
    <mergeCell ref="B25:D25"/>
    <mergeCell ref="E25:H25"/>
    <mergeCell ref="E26:H26"/>
    <mergeCell ref="E27:H27"/>
  </mergeCells>
  <printOptions/>
  <pageMargins left="1.29" right="0.75" top="1.47" bottom="1" header="0.5" footer="0.4921259845"/>
  <pageSetup horizontalDpi="300" verticalDpi="300" orientation="portrait" paperSize="9" r:id="rId1"/>
  <headerFooter alignWithMargins="0">
    <oddHeader>&amp;C&amp;"Times New Roman,Kursiv"&amp;11Wagenbedarf Wega
&amp;"Times New Roman,Fett Kursiv"Rail 2000</oddHeader>
  </headerFooter>
</worksheet>
</file>

<file path=xl/worksheets/sheet2.xml><?xml version="1.0" encoding="utf-8"?>
<worksheet xmlns="http://schemas.openxmlformats.org/spreadsheetml/2006/main" xmlns:r="http://schemas.openxmlformats.org/officeDocument/2006/relationships">
  <dimension ref="B6:H25"/>
  <sheetViews>
    <sheetView workbookViewId="0" topLeftCell="A2">
      <selection activeCell="F22" sqref="F22"/>
    </sheetView>
  </sheetViews>
  <sheetFormatPr defaultColWidth="11.421875" defaultRowHeight="12.75"/>
  <cols>
    <col min="3" max="3" width="21.8515625" style="0" customWidth="1"/>
    <col min="4" max="4" width="21.28125" style="0" customWidth="1"/>
    <col min="5" max="5" width="19.8515625" style="104" customWidth="1"/>
    <col min="6" max="6" width="13.140625" style="104" customWidth="1"/>
    <col min="7" max="7" width="15.140625" style="0" customWidth="1"/>
  </cols>
  <sheetData>
    <row r="6" spans="3:6" ht="20.25">
      <c r="C6" s="224" t="s">
        <v>152</v>
      </c>
      <c r="D6" s="225"/>
      <c r="E6" s="225"/>
      <c r="F6" s="226"/>
    </row>
    <row r="7" spans="3:6" ht="15.75">
      <c r="C7" s="189" t="s">
        <v>1</v>
      </c>
      <c r="D7" s="189" t="s">
        <v>2</v>
      </c>
      <c r="E7" s="189" t="s">
        <v>141</v>
      </c>
      <c r="F7" s="190" t="s">
        <v>151</v>
      </c>
    </row>
    <row r="8" spans="3:6" ht="15.75">
      <c r="C8" s="183" t="s">
        <v>6</v>
      </c>
      <c r="D8" s="184" t="s">
        <v>126</v>
      </c>
      <c r="E8" s="187" t="s">
        <v>143</v>
      </c>
      <c r="F8" s="143" t="s">
        <v>138</v>
      </c>
    </row>
    <row r="9" spans="2:6" ht="15.75">
      <c r="B9" s="150"/>
      <c r="C9" s="192"/>
      <c r="D9" s="194" t="s">
        <v>119</v>
      </c>
      <c r="E9" s="142" t="s">
        <v>144</v>
      </c>
      <c r="F9" s="148"/>
    </row>
    <row r="10" spans="3:6" ht="15.75">
      <c r="C10" s="176" t="s">
        <v>113</v>
      </c>
      <c r="D10" s="177" t="s">
        <v>127</v>
      </c>
      <c r="E10" s="149" t="s">
        <v>147</v>
      </c>
      <c r="F10" s="143" t="s">
        <v>146</v>
      </c>
    </row>
    <row r="11" spans="3:6" ht="15.75">
      <c r="C11" s="174" t="s">
        <v>114</v>
      </c>
      <c r="D11" s="177" t="s">
        <v>128</v>
      </c>
      <c r="E11" s="149" t="s">
        <v>148</v>
      </c>
      <c r="F11" s="143" t="s">
        <v>142</v>
      </c>
    </row>
    <row r="12" spans="2:8" ht="15.75">
      <c r="B12" s="150"/>
      <c r="C12" s="181"/>
      <c r="D12" s="182" t="s">
        <v>118</v>
      </c>
      <c r="E12" s="148" t="s">
        <v>145</v>
      </c>
      <c r="F12" s="148"/>
      <c r="G12" s="20"/>
      <c r="H12" s="20"/>
    </row>
    <row r="13" spans="3:8" ht="15.75">
      <c r="C13" s="176" t="s">
        <v>78</v>
      </c>
      <c r="D13" s="177" t="s">
        <v>121</v>
      </c>
      <c r="E13" s="212" t="s">
        <v>134</v>
      </c>
      <c r="F13" s="143" t="s">
        <v>137</v>
      </c>
      <c r="G13" s="270"/>
      <c r="H13" s="270"/>
    </row>
    <row r="14" spans="3:8" ht="15.75">
      <c r="C14" s="176"/>
      <c r="D14" s="177" t="s">
        <v>122</v>
      </c>
      <c r="E14" s="213"/>
      <c r="F14" s="143" t="s">
        <v>137</v>
      </c>
      <c r="G14" s="223"/>
      <c r="H14" s="223"/>
    </row>
    <row r="15" spans="3:8" ht="15.75">
      <c r="C15" s="188"/>
      <c r="D15" s="177" t="s">
        <v>123</v>
      </c>
      <c r="E15" s="214" t="s">
        <v>135</v>
      </c>
      <c r="F15" s="143" t="s">
        <v>137</v>
      </c>
      <c r="G15" s="223"/>
      <c r="H15" s="223"/>
    </row>
    <row r="16" spans="3:8" ht="15.75">
      <c r="C16" s="179"/>
      <c r="D16" s="177" t="s">
        <v>124</v>
      </c>
      <c r="E16" s="214"/>
      <c r="F16" s="143" t="s">
        <v>137</v>
      </c>
      <c r="G16" s="223"/>
      <c r="H16" s="223"/>
    </row>
    <row r="17" spans="3:8" ht="15.75">
      <c r="C17" s="216"/>
      <c r="D17" s="177" t="s">
        <v>125</v>
      </c>
      <c r="E17" s="214" t="s">
        <v>136</v>
      </c>
      <c r="F17" s="143" t="s">
        <v>139</v>
      </c>
      <c r="G17" s="223"/>
      <c r="H17" s="223"/>
    </row>
    <row r="18" spans="3:8" ht="15.75">
      <c r="C18" s="217"/>
      <c r="D18" s="177" t="s">
        <v>129</v>
      </c>
      <c r="E18" s="214"/>
      <c r="F18" s="143" t="s">
        <v>137</v>
      </c>
      <c r="G18" s="223"/>
      <c r="H18" s="223"/>
    </row>
    <row r="19" spans="3:8" ht="15.75">
      <c r="C19" s="176"/>
      <c r="D19" s="177" t="s">
        <v>130</v>
      </c>
      <c r="E19" s="193"/>
      <c r="F19" s="143" t="s">
        <v>140</v>
      </c>
      <c r="G19" s="223"/>
      <c r="H19" s="223"/>
    </row>
    <row r="20" spans="3:8" ht="15.75">
      <c r="C20" s="176"/>
      <c r="D20" s="177" t="s">
        <v>126</v>
      </c>
      <c r="E20" s="193"/>
      <c r="F20" s="143" t="s">
        <v>140</v>
      </c>
      <c r="G20" s="223"/>
      <c r="H20" s="223"/>
    </row>
    <row r="21" spans="3:8" ht="15.75">
      <c r="C21" s="176"/>
      <c r="D21" s="177" t="s">
        <v>131</v>
      </c>
      <c r="E21" s="193"/>
      <c r="F21" s="143" t="s">
        <v>137</v>
      </c>
      <c r="G21" s="223"/>
      <c r="H21" s="223"/>
    </row>
    <row r="22" spans="3:8" ht="15.75">
      <c r="C22" s="185"/>
      <c r="D22" s="186" t="s">
        <v>132</v>
      </c>
      <c r="E22" s="193"/>
      <c r="F22" s="143" t="s">
        <v>137</v>
      </c>
      <c r="G22" s="223"/>
      <c r="H22" s="223"/>
    </row>
    <row r="23" spans="3:8" ht="15.75">
      <c r="C23" s="176"/>
      <c r="D23" s="177" t="s">
        <v>120</v>
      </c>
      <c r="E23" s="193"/>
      <c r="F23" s="143"/>
      <c r="G23" s="223"/>
      <c r="H23" s="223"/>
    </row>
    <row r="24" spans="3:8" ht="15.75">
      <c r="C24" s="180"/>
      <c r="D24" s="144" t="s">
        <v>119</v>
      </c>
      <c r="E24" s="195"/>
      <c r="F24" s="148"/>
      <c r="G24" s="223"/>
      <c r="H24" s="223"/>
    </row>
    <row r="25" spans="3:6" ht="15.75">
      <c r="C25" s="180" t="s">
        <v>24</v>
      </c>
      <c r="D25" s="178" t="s">
        <v>133</v>
      </c>
      <c r="E25" s="148" t="s">
        <v>149</v>
      </c>
      <c r="F25" s="142" t="s">
        <v>150</v>
      </c>
    </row>
  </sheetData>
  <mergeCells count="7">
    <mergeCell ref="H13:H24"/>
    <mergeCell ref="C6:F6"/>
    <mergeCell ref="C17:C18"/>
    <mergeCell ref="G13:G24"/>
    <mergeCell ref="E13:E14"/>
    <mergeCell ref="E15:E16"/>
    <mergeCell ref="E17:E18"/>
  </mergeCells>
  <printOptions/>
  <pageMargins left="1.33" right="0.75" top="0.8"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belle1"/>
  <dimension ref="C9:BL103"/>
  <sheetViews>
    <sheetView tabSelected="1" view="pageBreakPreview" zoomScaleSheetLayoutView="100" workbookViewId="0" topLeftCell="A25">
      <selection activeCell="B40" sqref="B40"/>
    </sheetView>
  </sheetViews>
  <sheetFormatPr defaultColWidth="11.421875" defaultRowHeight="12.75" outlineLevelCol="1"/>
  <cols>
    <col min="3" max="3" width="7.421875" style="3" bestFit="1" customWidth="1"/>
    <col min="4" max="4" width="13.28125" style="3" bestFit="1" customWidth="1"/>
    <col min="5" max="5" width="22.7109375" style="1" customWidth="1"/>
    <col min="6" max="6" width="8.57421875" style="1" customWidth="1"/>
    <col min="7" max="7" width="8.7109375" style="1" customWidth="1"/>
    <col min="8" max="8" width="10.140625" style="221" customWidth="1"/>
    <col min="9" max="9" width="16.00390625" style="1" customWidth="1"/>
    <col min="10" max="10" width="9.57421875" style="1" customWidth="1"/>
    <col min="11" max="12" width="18.28125" style="0" customWidth="1"/>
    <col min="13" max="13" width="8.140625" style="0" customWidth="1"/>
    <col min="14" max="14" width="7.8515625" style="0" customWidth="1"/>
    <col min="15" max="15" width="6.7109375" style="0" customWidth="1"/>
    <col min="16" max="17" width="1.7109375" style="0" customWidth="1"/>
    <col min="18" max="18" width="18.28125" style="0" customWidth="1"/>
    <col min="19" max="19" width="8.140625" style="0" customWidth="1"/>
    <col min="20" max="20" width="7.8515625" style="0" customWidth="1"/>
    <col min="21" max="21" width="5.28125" style="0" customWidth="1"/>
    <col min="22" max="22" width="1.7109375" style="0" customWidth="1"/>
    <col min="23" max="23" width="7.00390625" style="0" customWidth="1"/>
    <col min="24" max="24" width="15.7109375" style="0" customWidth="1"/>
    <col min="25" max="36" width="8.28125" style="0" customWidth="1"/>
    <col min="37" max="37" width="8.28125" style="0" bestFit="1" customWidth="1"/>
    <col min="38" max="38" width="7.8515625" style="0" customWidth="1"/>
    <col min="43" max="43" width="11.421875" style="0" hidden="1" customWidth="1" outlineLevel="1"/>
    <col min="44" max="44" width="6.7109375" style="0" hidden="1" customWidth="1" outlineLevel="1"/>
    <col min="45" max="45" width="7.8515625" style="0" hidden="1" customWidth="1" outlineLevel="1"/>
    <col min="46" max="46" width="5.00390625" style="0" hidden="1" customWidth="1" outlineLevel="1"/>
    <col min="47" max="47" width="7.8515625" style="0" hidden="1" customWidth="1" outlineLevel="1"/>
    <col min="48" max="48" width="6.421875" style="0" hidden="1" customWidth="1" outlineLevel="1"/>
    <col min="49" max="49" width="11.421875" style="0" hidden="1" customWidth="1" outlineLevel="1"/>
    <col min="50" max="50" width="6.7109375" style="0" hidden="1" customWidth="1" outlineLevel="1"/>
    <col min="51" max="51" width="6.421875" style="0" hidden="1" customWidth="1" outlineLevel="1"/>
    <col min="52" max="52" width="11.421875" style="0" hidden="1" customWidth="1" outlineLevel="1"/>
    <col min="53" max="53" width="6.7109375" style="0" hidden="1" customWidth="1" outlineLevel="1"/>
    <col min="54" max="54" width="6.421875" style="0" hidden="1" customWidth="1" outlineLevel="1"/>
    <col min="55" max="55" width="11.421875" style="0" hidden="1" customWidth="1" outlineLevel="1"/>
    <col min="56" max="56" width="6.421875" style="0" hidden="1" customWidth="1" outlineLevel="1"/>
    <col min="57" max="57" width="6.140625" style="0" hidden="1" customWidth="1" outlineLevel="1"/>
    <col min="58" max="58" width="11.421875" style="0" hidden="1" customWidth="1" outlineLevel="1"/>
    <col min="59" max="59" width="8.28125" style="0" hidden="1" customWidth="1" outlineLevel="1"/>
    <col min="60" max="60" width="6.140625" style="0" hidden="1" customWidth="1" outlineLevel="1"/>
    <col min="61" max="61" width="11.421875" style="0" hidden="1" customWidth="1" outlineLevel="1"/>
    <col min="62" max="62" width="11.421875" style="25" hidden="1" customWidth="1" outlineLevel="1"/>
    <col min="63" max="63" width="11.421875" style="0" hidden="1" customWidth="1" outlineLevel="1"/>
    <col min="64" max="64" width="11.421875" style="0" customWidth="1" collapsed="1"/>
  </cols>
  <sheetData>
    <row r="9" ht="12.75">
      <c r="Z9" s="30"/>
    </row>
    <row r="12" spans="42:64" ht="12.75">
      <c r="AP12" s="38"/>
      <c r="AQ12" s="38"/>
      <c r="AR12" s="38"/>
      <c r="AS12" s="38"/>
      <c r="AT12" s="38"/>
      <c r="AU12" s="38"/>
      <c r="AV12" s="38"/>
      <c r="AW12" s="38"/>
      <c r="AX12" s="38"/>
      <c r="AY12" s="38"/>
      <c r="AZ12" s="38"/>
      <c r="BA12" s="38"/>
      <c r="BB12" s="38"/>
      <c r="BC12" s="38"/>
      <c r="BD12" s="38"/>
      <c r="BE12" s="38"/>
      <c r="BF12" s="38"/>
      <c r="BG12" s="38"/>
      <c r="BH12" s="38"/>
      <c r="BI12" s="38"/>
      <c r="BJ12" s="82"/>
      <c r="BK12" s="38"/>
      <c r="BL12" s="38"/>
    </row>
    <row r="13" spans="42:64" ht="12.75">
      <c r="AP13" s="38"/>
      <c r="AQ13" s="83"/>
      <c r="AR13" s="84"/>
      <c r="AS13" s="84"/>
      <c r="AT13" s="84"/>
      <c r="AU13" s="84"/>
      <c r="AV13" s="84"/>
      <c r="AW13" s="84"/>
      <c r="AX13" s="84"/>
      <c r="AY13" s="84"/>
      <c r="AZ13" s="84"/>
      <c r="BA13" s="84"/>
      <c r="BB13" s="84"/>
      <c r="BC13" s="84"/>
      <c r="BD13" s="84"/>
      <c r="BE13" s="84"/>
      <c r="BF13" s="84"/>
      <c r="BG13" s="84"/>
      <c r="BH13" s="84"/>
      <c r="BI13" s="84"/>
      <c r="BJ13" s="84"/>
      <c r="BK13" s="85"/>
      <c r="BL13" s="38"/>
    </row>
    <row r="14" spans="3:64" ht="23.25">
      <c r="C14" s="1" t="s">
        <v>158</v>
      </c>
      <c r="U14" s="25"/>
      <c r="V14" s="25"/>
      <c r="W14" s="25"/>
      <c r="X14" s="25"/>
      <c r="Y14" s="25"/>
      <c r="Z14" s="25"/>
      <c r="AA14" s="25"/>
      <c r="AB14" s="25"/>
      <c r="AC14" s="25"/>
      <c r="AD14" s="25"/>
      <c r="AE14" s="25"/>
      <c r="AF14" s="25"/>
      <c r="AG14" s="25"/>
      <c r="AP14" s="38"/>
      <c r="AQ14" s="86" t="s">
        <v>86</v>
      </c>
      <c r="AR14" s="87"/>
      <c r="AS14" s="87"/>
      <c r="AT14" s="87"/>
      <c r="AU14" s="87"/>
      <c r="AV14" s="87"/>
      <c r="AW14" s="87"/>
      <c r="AX14" s="82"/>
      <c r="AY14" s="82"/>
      <c r="AZ14" s="82"/>
      <c r="BA14" s="82"/>
      <c r="BB14" s="82"/>
      <c r="BC14" s="82"/>
      <c r="BD14" s="82"/>
      <c r="BE14" s="82"/>
      <c r="BF14" s="82"/>
      <c r="BG14" s="82"/>
      <c r="BH14" s="82"/>
      <c r="BI14" s="82"/>
      <c r="BJ14" s="82"/>
      <c r="BK14" s="79"/>
      <c r="BL14" s="38"/>
    </row>
    <row r="15" spans="3:64" ht="12.75">
      <c r="C15" s="2"/>
      <c r="AP15" s="38"/>
      <c r="AQ15" s="88"/>
      <c r="AR15" s="82"/>
      <c r="AS15" s="82"/>
      <c r="AT15" s="82"/>
      <c r="AU15" s="82"/>
      <c r="AV15" s="82"/>
      <c r="AW15" s="82"/>
      <c r="AX15" s="82"/>
      <c r="AY15" s="82"/>
      <c r="AZ15" s="82"/>
      <c r="BA15" s="82"/>
      <c r="BB15" s="82"/>
      <c r="BC15" s="82"/>
      <c r="BD15" s="82"/>
      <c r="BE15" s="82"/>
      <c r="BF15" s="82"/>
      <c r="BG15" s="82"/>
      <c r="BH15" s="82"/>
      <c r="BI15" s="82"/>
      <c r="BJ15" s="82"/>
      <c r="BK15" s="79"/>
      <c r="BL15" s="38"/>
    </row>
    <row r="16" spans="3:64" ht="22.5" customHeight="1">
      <c r="C16" s="273" t="s">
        <v>156</v>
      </c>
      <c r="D16" s="274"/>
      <c r="E16" s="274"/>
      <c r="F16" s="274"/>
      <c r="G16" s="274"/>
      <c r="H16" s="274"/>
      <c r="I16" s="274"/>
      <c r="J16" s="275"/>
      <c r="L16" s="9" t="s">
        <v>39</v>
      </c>
      <c r="M16" s="54"/>
      <c r="N16" s="21" t="s">
        <v>70</v>
      </c>
      <c r="O16" s="110" t="e">
        <f>M19/Anschließer!I51</f>
        <v>#DIV/0!</v>
      </c>
      <c r="P16" s="11"/>
      <c r="Q16" s="49"/>
      <c r="R16" s="9" t="s">
        <v>45</v>
      </c>
      <c r="S16" s="10"/>
      <c r="T16" s="21" t="s">
        <v>70</v>
      </c>
      <c r="U16" s="110" t="e">
        <f>S19/Anschließer!I51</f>
        <v>#DIV/0!</v>
      </c>
      <c r="V16" s="11"/>
      <c r="X16" s="39"/>
      <c r="Y16" s="286" t="s">
        <v>74</v>
      </c>
      <c r="Z16" s="287"/>
      <c r="AA16" s="288" t="s">
        <v>43</v>
      </c>
      <c r="AB16" s="287"/>
      <c r="AC16" s="286" t="s">
        <v>44</v>
      </c>
      <c r="AD16" s="287"/>
      <c r="AE16" s="286" t="s">
        <v>45</v>
      </c>
      <c r="AF16" s="287"/>
      <c r="AG16" s="286" t="s">
        <v>58</v>
      </c>
      <c r="AH16" s="288"/>
      <c r="AI16" s="286" t="s">
        <v>77</v>
      </c>
      <c r="AJ16" s="303"/>
      <c r="AP16" s="38"/>
      <c r="AQ16" s="88"/>
      <c r="AR16" s="83" t="s">
        <v>83</v>
      </c>
      <c r="AS16" s="84"/>
      <c r="AT16" s="84"/>
      <c r="AU16" s="84"/>
      <c r="AV16" s="84"/>
      <c r="AW16" s="84"/>
      <c r="AX16" s="84"/>
      <c r="AY16" s="84"/>
      <c r="AZ16" s="84"/>
      <c r="BA16" s="84"/>
      <c r="BB16" s="84"/>
      <c r="BC16" s="84"/>
      <c r="BD16" s="84"/>
      <c r="BE16" s="84"/>
      <c r="BF16" s="84"/>
      <c r="BG16" s="84"/>
      <c r="BH16" s="85"/>
      <c r="BI16" s="82"/>
      <c r="BJ16" s="89" t="s">
        <v>84</v>
      </c>
      <c r="BK16" s="79"/>
      <c r="BL16" s="38"/>
    </row>
    <row r="17" spans="3:64" s="37" customFormat="1" ht="15" customHeight="1">
      <c r="C17" s="289" t="s">
        <v>0</v>
      </c>
      <c r="D17" s="291" t="s">
        <v>1</v>
      </c>
      <c r="E17" s="291" t="s">
        <v>2</v>
      </c>
      <c r="F17" s="278" t="s">
        <v>33</v>
      </c>
      <c r="G17" s="278" t="s">
        <v>34</v>
      </c>
      <c r="H17" s="293" t="s">
        <v>157</v>
      </c>
      <c r="I17" s="291" t="s">
        <v>4</v>
      </c>
      <c r="J17" s="230" t="s">
        <v>3</v>
      </c>
      <c r="K17" s="231"/>
      <c r="L17" s="232" t="s">
        <v>41</v>
      </c>
      <c r="M17" s="4" t="s">
        <v>40</v>
      </c>
      <c r="N17" s="4"/>
      <c r="O17" s="4"/>
      <c r="P17" s="19"/>
      <c r="Q17" s="49"/>
      <c r="R17" s="232" t="s">
        <v>41</v>
      </c>
      <c r="S17" s="4" t="s">
        <v>40</v>
      </c>
      <c r="T17" s="4"/>
      <c r="U17" s="4"/>
      <c r="V17" s="19"/>
      <c r="X17" s="192"/>
      <c r="Y17" s="172" t="s">
        <v>70</v>
      </c>
      <c r="Z17" s="233" t="e">
        <f>O16</f>
        <v>#DIV/0!</v>
      </c>
      <c r="AA17" s="172" t="s">
        <v>70</v>
      </c>
      <c r="AB17" s="233" t="e">
        <f>O23</f>
        <v>#DIV/0!</v>
      </c>
      <c r="AC17" s="234" t="s">
        <v>70</v>
      </c>
      <c r="AD17" s="233" t="e">
        <f>O30</f>
        <v>#DIV/0!</v>
      </c>
      <c r="AE17" s="234" t="s">
        <v>70</v>
      </c>
      <c r="AF17" s="233" t="e">
        <f>U16</f>
        <v>#DIV/0!</v>
      </c>
      <c r="AG17" s="234" t="s">
        <v>70</v>
      </c>
      <c r="AH17" s="107" t="e">
        <f>U23</f>
        <v>#DIV/0!</v>
      </c>
      <c r="AI17" s="234" t="s">
        <v>70</v>
      </c>
      <c r="AJ17" s="233" t="e">
        <f>U30</f>
        <v>#DIV/0!</v>
      </c>
      <c r="AK17" s="235"/>
      <c r="AP17" s="236"/>
      <c r="AQ17" s="237"/>
      <c r="AR17" s="237" t="s">
        <v>46</v>
      </c>
      <c r="AS17" s="238" t="s">
        <v>48</v>
      </c>
      <c r="AT17" s="238"/>
      <c r="AU17" s="238" t="s">
        <v>50</v>
      </c>
      <c r="AV17" s="238" t="s">
        <v>51</v>
      </c>
      <c r="AW17" s="238"/>
      <c r="AX17" s="238" t="s">
        <v>52</v>
      </c>
      <c r="AY17" s="238" t="s">
        <v>53</v>
      </c>
      <c r="AZ17" s="238"/>
      <c r="BA17" s="238" t="s">
        <v>54</v>
      </c>
      <c r="BB17" s="238" t="s">
        <v>55</v>
      </c>
      <c r="BC17" s="238"/>
      <c r="BD17" s="238" t="s">
        <v>56</v>
      </c>
      <c r="BE17" s="238" t="s">
        <v>57</v>
      </c>
      <c r="BF17" s="238"/>
      <c r="BG17" s="238" t="s">
        <v>56</v>
      </c>
      <c r="BH17" s="239" t="s">
        <v>57</v>
      </c>
      <c r="BI17" s="238"/>
      <c r="BJ17" s="240" t="b">
        <f>OR(J19="G",J19="S",J19="R",J19="O",J19="Z",J19="versch.")</f>
        <v>1</v>
      </c>
      <c r="BK17" s="239"/>
      <c r="BL17" s="236"/>
    </row>
    <row r="18" spans="3:64" s="37" customFormat="1" ht="15" customHeight="1">
      <c r="C18" s="290"/>
      <c r="D18" s="292"/>
      <c r="E18" s="292"/>
      <c r="F18" s="279"/>
      <c r="G18" s="279"/>
      <c r="H18" s="294"/>
      <c r="I18" s="292"/>
      <c r="J18" s="241" t="s">
        <v>5</v>
      </c>
      <c r="K18" s="231"/>
      <c r="L18" s="55">
        <f>SUM(Anschließer!AR19:AR50)</f>
        <v>3.25</v>
      </c>
      <c r="M18" s="56">
        <f>SUM(Anschließer!AS19:AS50)</f>
        <v>2</v>
      </c>
      <c r="N18" s="60" t="s">
        <v>42</v>
      </c>
      <c r="O18" s="33"/>
      <c r="P18" s="35"/>
      <c r="Q18" s="49"/>
      <c r="R18" s="50">
        <f>SUM(Anschließer!BA19:BA50)</f>
        <v>0</v>
      </c>
      <c r="S18" s="51">
        <f>SUM(Anschließer!BB19:BB50)</f>
        <v>1.25</v>
      </c>
      <c r="T18" s="60" t="s">
        <v>42</v>
      </c>
      <c r="U18" s="33"/>
      <c r="V18" s="35"/>
      <c r="X18" s="242" t="s">
        <v>41</v>
      </c>
      <c r="Y18" s="243">
        <f>ROUND(L18,0)</f>
        <v>3</v>
      </c>
      <c r="Z18" s="244" t="s">
        <v>42</v>
      </c>
      <c r="AA18" s="243">
        <f>ROUND(L25,0)</f>
        <v>1</v>
      </c>
      <c r="AB18" s="245" t="s">
        <v>42</v>
      </c>
      <c r="AC18" s="246">
        <f>ROUND(L33,0)</f>
        <v>0</v>
      </c>
      <c r="AD18" s="244" t="str">
        <f>IF(L33=0,"","Wg/Tag")</f>
        <v>Wg/Tag</v>
      </c>
      <c r="AE18" s="243">
        <f>ROUND(R18,0)</f>
        <v>0</v>
      </c>
      <c r="AF18" s="244">
        <f>IF(R18=0,"","Wg/Tag")</f>
      </c>
      <c r="AG18" s="247">
        <f>ROUND(R25,0)</f>
        <v>0</v>
      </c>
      <c r="AH18" s="244">
        <f>IF(R25=0,"","Wg/Tag")</f>
      </c>
      <c r="AI18" s="247">
        <f>ROUND(R33,0)</f>
        <v>1</v>
      </c>
      <c r="AJ18" s="244" t="str">
        <f>IF(R33=0,"","Wg/Tag")</f>
        <v>Wg/Tag</v>
      </c>
      <c r="AP18" s="236"/>
      <c r="AQ18" s="237"/>
      <c r="AR18" s="237" t="s">
        <v>47</v>
      </c>
      <c r="AS18" s="238" t="s">
        <v>49</v>
      </c>
      <c r="AT18" s="238"/>
      <c r="AU18" s="238" t="s">
        <v>47</v>
      </c>
      <c r="AV18" s="238" t="s">
        <v>49</v>
      </c>
      <c r="AW18" s="238"/>
      <c r="AX18" s="238" t="s">
        <v>47</v>
      </c>
      <c r="AY18" s="238" t="s">
        <v>49</v>
      </c>
      <c r="AZ18" s="238"/>
      <c r="BA18" s="238" t="s">
        <v>47</v>
      </c>
      <c r="BB18" s="238" t="s">
        <v>49</v>
      </c>
      <c r="BC18" s="238"/>
      <c r="BD18" s="238" t="s">
        <v>47</v>
      </c>
      <c r="BE18" s="238" t="s">
        <v>49</v>
      </c>
      <c r="BF18" s="238"/>
      <c r="BG18" s="238" t="s">
        <v>47</v>
      </c>
      <c r="BH18" s="239" t="s">
        <v>49</v>
      </c>
      <c r="BI18" s="238"/>
      <c r="BJ18" s="240" t="b">
        <f>OR(J20="G",J20="S",J20="R",J20="O",J20="Z",J20="versch.")</f>
        <v>1</v>
      </c>
      <c r="BK18" s="239"/>
      <c r="BL18" s="236"/>
    </row>
    <row r="19" spans="3:64" ht="15" customHeight="1">
      <c r="C19" s="128">
        <v>1</v>
      </c>
      <c r="D19" s="129" t="s">
        <v>155</v>
      </c>
      <c r="E19" s="130" t="s">
        <v>7</v>
      </c>
      <c r="F19" s="131">
        <v>1</v>
      </c>
      <c r="G19" s="222"/>
      <c r="H19" s="222">
        <v>1</v>
      </c>
      <c r="I19" s="130" t="s">
        <v>8</v>
      </c>
      <c r="J19" s="248" t="s">
        <v>9</v>
      </c>
      <c r="L19" s="15" t="s">
        <v>71</v>
      </c>
      <c r="M19" s="7">
        <f>L18+M18</f>
        <v>5.25</v>
      </c>
      <c r="N19" s="6" t="s">
        <v>42</v>
      </c>
      <c r="O19" s="6"/>
      <c r="P19" s="14"/>
      <c r="Q19" s="49"/>
      <c r="R19" s="15" t="s">
        <v>71</v>
      </c>
      <c r="S19" s="7">
        <f>R18+S18</f>
        <v>1.25</v>
      </c>
      <c r="T19" s="6" t="s">
        <v>42</v>
      </c>
      <c r="U19" s="6"/>
      <c r="V19" s="14"/>
      <c r="X19" s="41" t="s">
        <v>75</v>
      </c>
      <c r="Y19" s="71">
        <f>ROUND(IF(AR54&gt;0,AR54,0),0)</f>
        <v>0</v>
      </c>
      <c r="Z19" s="75">
        <f>IF(AR54&gt;0,"Wg/Tag","")</f>
      </c>
      <c r="AA19" s="71">
        <f>ROUND(IF(AT54&gt;0,AT54,0),0)</f>
        <v>1</v>
      </c>
      <c r="AB19" s="75" t="str">
        <f>IF(AT54&gt;0,"Wg/Tag","")</f>
        <v>Wg/Tag</v>
      </c>
      <c r="AC19" s="71">
        <f>ROUND(IF(AV54&gt;0,AV54,0),0)</f>
        <v>0</v>
      </c>
      <c r="AD19" s="75">
        <f>IF(AV54&gt;0,"Wg/Tag","")</f>
      </c>
      <c r="AE19" s="71">
        <f>ROUND(IF(AX54&gt;0,AX54,0),0)</f>
        <v>1</v>
      </c>
      <c r="AF19" s="75" t="str">
        <f>IF(AX54&gt;0,"Wg/Tag","")</f>
        <v>Wg/Tag</v>
      </c>
      <c r="AG19" s="71">
        <f>ROUND(IF(AZ54&gt;0,AZ54,0),0)</f>
        <v>0</v>
      </c>
      <c r="AH19" s="76">
        <f>IF(AZ54&gt;0,"Wg/Tag","")</f>
      </c>
      <c r="AI19" s="71">
        <f>ROUND(IF(BB54&gt;0,BB54,0),0)</f>
        <v>1</v>
      </c>
      <c r="AJ19" s="77" t="str">
        <f>IF(BB54&gt;0,"Wg/Tag","")</f>
        <v>Wg/Tag</v>
      </c>
      <c r="AP19" s="38"/>
      <c r="AQ19" s="88"/>
      <c r="AR19" s="88">
        <f aca="true" t="shared" si="0" ref="AR19:AR33">IF(J19="G",(G19*1),0)</f>
        <v>0</v>
      </c>
      <c r="AS19" s="82">
        <f aca="true" t="shared" si="1" ref="AS19:AS33">IF(J19="G",(F19*1),0)</f>
        <v>0</v>
      </c>
      <c r="AT19" s="82"/>
      <c r="AU19" s="82">
        <f aca="true" t="shared" si="2" ref="AU19:AU33">IF(J19="S",(G19*1),0)</f>
        <v>0</v>
      </c>
      <c r="AV19" s="82">
        <f aca="true" t="shared" si="3" ref="AV19:AV33">IF(J19="S",(F19*1),0)</f>
        <v>0</v>
      </c>
      <c r="AW19" s="82"/>
      <c r="AX19" s="82">
        <f aca="true" t="shared" si="4" ref="AX19:AX33">IF(J19="R",(G19*1),0)</f>
        <v>0</v>
      </c>
      <c r="AY19" s="82">
        <f aca="true" t="shared" si="5" ref="AY19:AY33">IF(J19="R",(F19*1),0)</f>
        <v>0</v>
      </c>
      <c r="AZ19" s="82"/>
      <c r="BA19" s="82">
        <f aca="true" t="shared" si="6" ref="BA19:BA33">IF(J19="O",(G19*1),0)</f>
        <v>0</v>
      </c>
      <c r="BB19" s="82">
        <f aca="true" t="shared" si="7" ref="BB19:BB33">IF(J19="O",(F19*1),0)</f>
        <v>1</v>
      </c>
      <c r="BC19" s="82"/>
      <c r="BD19" s="82">
        <f aca="true" t="shared" si="8" ref="BD19:BD33">IF(J19="Z",(G19*1),0)</f>
        <v>0</v>
      </c>
      <c r="BE19" s="82">
        <f aca="true" t="shared" si="9" ref="BE19:BE33">IF(J19="Z",(F19*1),0)</f>
        <v>0</v>
      </c>
      <c r="BF19" s="82"/>
      <c r="BG19" s="82">
        <f aca="true" t="shared" si="10" ref="BG19:BG33">IF(J19="versch.",(G19*1),0)</f>
        <v>0</v>
      </c>
      <c r="BH19" s="79">
        <f aca="true" t="shared" si="11" ref="BH19:BH33">IF(J19="versch.",(F19*1),0)</f>
        <v>0</v>
      </c>
      <c r="BI19" s="82"/>
      <c r="BJ19" s="80"/>
      <c r="BK19" s="79"/>
      <c r="BL19" s="38"/>
    </row>
    <row r="20" spans="3:64" ht="15" customHeight="1">
      <c r="C20" s="281">
        <v>2</v>
      </c>
      <c r="D20" s="133" t="s">
        <v>113</v>
      </c>
      <c r="E20" s="301" t="s">
        <v>30</v>
      </c>
      <c r="F20" s="276">
        <v>1</v>
      </c>
      <c r="G20" s="276">
        <v>1</v>
      </c>
      <c r="H20" s="295">
        <v>2</v>
      </c>
      <c r="I20" s="301" t="s">
        <v>79</v>
      </c>
      <c r="J20" s="319" t="s">
        <v>18</v>
      </c>
      <c r="L20" s="16"/>
      <c r="M20" s="8"/>
      <c r="N20" s="5"/>
      <c r="O20" s="5"/>
      <c r="P20" s="13"/>
      <c r="Q20" s="49"/>
      <c r="R20" s="16"/>
      <c r="S20" s="8"/>
      <c r="T20" s="5"/>
      <c r="U20" s="5"/>
      <c r="V20" s="13"/>
      <c r="X20" s="42" t="s">
        <v>40</v>
      </c>
      <c r="Y20" s="69">
        <f>ROUND(M18,0)</f>
        <v>2</v>
      </c>
      <c r="Z20" s="72" t="s">
        <v>42</v>
      </c>
      <c r="AA20" s="69">
        <f>ROUND(M25,0)</f>
        <v>2</v>
      </c>
      <c r="AB20" s="70" t="s">
        <v>42</v>
      </c>
      <c r="AC20" s="73">
        <f>ROUND(M33,0)</f>
        <v>0</v>
      </c>
      <c r="AD20" s="72" t="str">
        <f>IF(M33=0,"","Wg/Tag")</f>
        <v>Wg/Tag</v>
      </c>
      <c r="AE20" s="69">
        <f>ROUND(S18,0)</f>
        <v>1</v>
      </c>
      <c r="AF20" s="72" t="str">
        <f>IF(S18=0,"","Wg/Tag")</f>
        <v>Wg/Tag</v>
      </c>
      <c r="AG20" s="74">
        <f>ROUND(S25,0)</f>
        <v>0</v>
      </c>
      <c r="AH20" s="72">
        <f>IF(S25=0,"","Wg/Tag")</f>
      </c>
      <c r="AI20" s="74">
        <f>ROUND(S33,0)</f>
        <v>2</v>
      </c>
      <c r="AJ20" s="72" t="str">
        <f>IF(S33=0,"","Wg/Tag")</f>
        <v>Wg/Tag</v>
      </c>
      <c r="AP20" s="38"/>
      <c r="AQ20" s="88"/>
      <c r="AR20" s="88">
        <f t="shared" si="0"/>
        <v>1</v>
      </c>
      <c r="AS20" s="82">
        <f>IF(J20="G",(F20*1),0)</f>
        <v>1</v>
      </c>
      <c r="AT20" s="82"/>
      <c r="AU20" s="82">
        <f t="shared" si="2"/>
        <v>0</v>
      </c>
      <c r="AV20" s="82">
        <f>IF(J20="S",(F20*1),0)</f>
        <v>0</v>
      </c>
      <c r="AW20" s="82"/>
      <c r="AX20" s="82">
        <f t="shared" si="4"/>
        <v>0</v>
      </c>
      <c r="AY20" s="82">
        <f>IF(J20="R",(F20*1),0)</f>
        <v>0</v>
      </c>
      <c r="AZ20" s="82"/>
      <c r="BA20" s="82">
        <f t="shared" si="6"/>
        <v>0</v>
      </c>
      <c r="BB20" s="82">
        <f>IF(J20="O",(F20*1),0)</f>
        <v>0</v>
      </c>
      <c r="BC20" s="82"/>
      <c r="BD20" s="82">
        <f t="shared" si="8"/>
        <v>0</v>
      </c>
      <c r="BE20" s="82">
        <f>IF(J20="Z",(F20*1),0)</f>
        <v>0</v>
      </c>
      <c r="BF20" s="82"/>
      <c r="BG20" s="82">
        <f t="shared" si="10"/>
        <v>0</v>
      </c>
      <c r="BH20" s="79">
        <f>IF(J20="versch.",(F20*1),0)</f>
        <v>0</v>
      </c>
      <c r="BI20" s="82"/>
      <c r="BJ20" s="80" t="b">
        <f aca="true" t="shared" si="12" ref="BJ20:BJ28">OR(J22="G",J22="S",J22="R",J22="O",J22="Z",J22="versch.")</f>
        <v>1</v>
      </c>
      <c r="BK20" s="79"/>
      <c r="BL20" s="38"/>
    </row>
    <row r="21" spans="3:64" ht="15" customHeight="1">
      <c r="C21" s="282"/>
      <c r="D21" s="299" t="str">
        <f>"Gesamt "&amp;SUM(F20:G22)&amp;" Wagen/Tag"</f>
        <v>Gesamt 5 Wagen/Tag</v>
      </c>
      <c r="E21" s="332"/>
      <c r="F21" s="277"/>
      <c r="G21" s="280"/>
      <c r="H21" s="296"/>
      <c r="I21" s="302"/>
      <c r="J21" s="320"/>
      <c r="L21" s="52" t="str">
        <f>IF(M18&lt;L18,"Leer Wg überschuss","Leer Wg bedarf")</f>
        <v>Leer Wg überschuss</v>
      </c>
      <c r="M21" s="17">
        <f>M18-L18</f>
        <v>-1.25</v>
      </c>
      <c r="N21" s="4" t="s">
        <v>42</v>
      </c>
      <c r="O21" s="18"/>
      <c r="P21" s="19"/>
      <c r="Q21" s="49"/>
      <c r="R21" s="52" t="str">
        <f>IF(S18&lt;R18,"Leer Wg überschuss","Leer Wg bedarf")</f>
        <v>Leer Wg bedarf</v>
      </c>
      <c r="S21" s="17">
        <f>S18-R18</f>
        <v>1.25</v>
      </c>
      <c r="T21" s="4" t="s">
        <v>42</v>
      </c>
      <c r="U21" s="18"/>
      <c r="V21" s="19"/>
      <c r="X21" s="44" t="s">
        <v>76</v>
      </c>
      <c r="Y21" s="114">
        <f>ROUND(IF(AR54&lt;0,ABS(AR54),0),0)</f>
        <v>1</v>
      </c>
      <c r="Z21" s="115" t="str">
        <f>IF(AR54&lt;0,"Wg/Tag","")</f>
        <v>Wg/Tag</v>
      </c>
      <c r="AA21" s="114">
        <f>ROUND(IF(AT54&lt;0,ABS(AT54),0),0)</f>
        <v>0</v>
      </c>
      <c r="AB21" s="115">
        <f>IF(AT54&lt;0,"Wg/Tag","")</f>
      </c>
      <c r="AC21" s="114">
        <f>ROUND(IF(AV54&lt;0,ABS(AV54),0),0)</f>
        <v>0</v>
      </c>
      <c r="AD21" s="115">
        <f>IF(AV54&lt;0,"Wg/Tag","")</f>
      </c>
      <c r="AE21" s="114">
        <f>ROUND(IF(AX54&lt;0,ABS(AX54),0),0)</f>
        <v>0</v>
      </c>
      <c r="AF21" s="115">
        <f>IF(AX54&lt;0,"Wg/Tag","")</f>
      </c>
      <c r="AG21" s="114">
        <f>ROUND(IF(AZ54&lt;0,ABS(AZ54),0),0)</f>
        <v>0</v>
      </c>
      <c r="AH21" s="116">
        <f>IF(AZ54&lt;0,"Wg/Tag","")</f>
      </c>
      <c r="AI21" s="114">
        <f>ROUND(IF(BB54&lt;0,ABS(BB54),0),0)</f>
        <v>0</v>
      </c>
      <c r="AJ21" s="117">
        <f>IF(BB54&lt;0,"Wg/Tag","")</f>
      </c>
      <c r="AP21" s="38"/>
      <c r="AQ21" s="88"/>
      <c r="AR21" s="88">
        <f t="shared" si="0"/>
        <v>0</v>
      </c>
      <c r="AS21" s="82">
        <f>IF(J21="G",(F21*1),0)</f>
        <v>0</v>
      </c>
      <c r="AT21" s="82"/>
      <c r="AU21" s="82">
        <f t="shared" si="2"/>
        <v>0</v>
      </c>
      <c r="AV21" s="82">
        <f>IF(J21="S",(F21*1),0)</f>
        <v>0</v>
      </c>
      <c r="AW21" s="82"/>
      <c r="AX21" s="82">
        <f t="shared" si="4"/>
        <v>0</v>
      </c>
      <c r="AY21" s="82">
        <f>IF(J21="R",(F21*1),0)</f>
        <v>0</v>
      </c>
      <c r="AZ21" s="82"/>
      <c r="BA21" s="82">
        <f t="shared" si="6"/>
        <v>0</v>
      </c>
      <c r="BB21" s="82">
        <f>IF(J21="O",(F21*1),0)</f>
        <v>0</v>
      </c>
      <c r="BC21" s="82"/>
      <c r="BD21" s="82">
        <f t="shared" si="8"/>
        <v>0</v>
      </c>
      <c r="BE21" s="82">
        <f>IF(J21="Z",(F21*1),0)</f>
        <v>0</v>
      </c>
      <c r="BF21" s="82"/>
      <c r="BG21" s="82">
        <f t="shared" si="10"/>
        <v>0</v>
      </c>
      <c r="BH21" s="79">
        <f>IF(J21="versch.",(F21*1),0)</f>
        <v>0</v>
      </c>
      <c r="BI21" s="82"/>
      <c r="BJ21" s="80" t="b">
        <f t="shared" si="12"/>
        <v>1</v>
      </c>
      <c r="BK21" s="79"/>
      <c r="BL21" s="38"/>
    </row>
    <row r="22" spans="3:64" ht="15" customHeight="1">
      <c r="C22" s="283"/>
      <c r="D22" s="300"/>
      <c r="E22" s="130" t="s">
        <v>115</v>
      </c>
      <c r="F22" s="175">
        <v>1</v>
      </c>
      <c r="G22" s="175">
        <v>2</v>
      </c>
      <c r="H22" s="277"/>
      <c r="I22" s="130" t="s">
        <v>116</v>
      </c>
      <c r="J22" s="132" t="s">
        <v>18</v>
      </c>
      <c r="L22" s="53"/>
      <c r="M22" s="53"/>
      <c r="N22" s="53"/>
      <c r="O22" s="53"/>
      <c r="P22" s="53"/>
      <c r="Q22" s="49"/>
      <c r="R22" s="53"/>
      <c r="S22" s="53"/>
      <c r="T22" s="53"/>
      <c r="U22" s="53"/>
      <c r="V22" s="53"/>
      <c r="X22" s="321" t="str">
        <f>"Gesamt An- und Abgehende Frachten "&amp;SUM(Y23:Y26)&amp;" Wagen am Tag."</f>
        <v>Gesamt An- und Abgehende Frachten 15 Wagen am Tag.</v>
      </c>
      <c r="Y22" s="322"/>
      <c r="Z22" s="322"/>
      <c r="AA22" s="322"/>
      <c r="AB22" s="322"/>
      <c r="AC22" s="322"/>
      <c r="AD22" s="323"/>
      <c r="AE22" s="317" t="s">
        <v>87</v>
      </c>
      <c r="AF22" s="318"/>
      <c r="AG22" s="318"/>
      <c r="AH22" s="318"/>
      <c r="AI22" s="104"/>
      <c r="AJ22" s="100"/>
      <c r="AL22" s="37"/>
      <c r="AP22" s="38"/>
      <c r="AQ22" s="88"/>
      <c r="AR22" s="88">
        <f t="shared" si="0"/>
        <v>2</v>
      </c>
      <c r="AS22" s="82">
        <f t="shared" si="1"/>
        <v>1</v>
      </c>
      <c r="AT22" s="82"/>
      <c r="AU22" s="82">
        <f t="shared" si="2"/>
        <v>0</v>
      </c>
      <c r="AV22" s="82">
        <f t="shared" si="3"/>
        <v>0</v>
      </c>
      <c r="AW22" s="82"/>
      <c r="AX22" s="82">
        <f t="shared" si="4"/>
        <v>0</v>
      </c>
      <c r="AY22" s="82">
        <f t="shared" si="5"/>
        <v>0</v>
      </c>
      <c r="AZ22" s="82"/>
      <c r="BA22" s="82">
        <f t="shared" si="6"/>
        <v>0</v>
      </c>
      <c r="BB22" s="82">
        <f t="shared" si="7"/>
        <v>0</v>
      </c>
      <c r="BC22" s="82"/>
      <c r="BD22" s="82">
        <f t="shared" si="8"/>
        <v>0</v>
      </c>
      <c r="BE22" s="82">
        <f t="shared" si="9"/>
        <v>0</v>
      </c>
      <c r="BF22" s="82"/>
      <c r="BG22" s="82">
        <f t="shared" si="10"/>
        <v>0</v>
      </c>
      <c r="BH22" s="79">
        <f t="shared" si="11"/>
        <v>0</v>
      </c>
      <c r="BI22" s="82"/>
      <c r="BJ22" s="80" t="b">
        <f t="shared" si="12"/>
        <v>1</v>
      </c>
      <c r="BK22" s="79"/>
      <c r="BL22" s="38"/>
    </row>
    <row r="23" spans="3:64" ht="15" customHeight="1">
      <c r="C23" s="281">
        <v>3</v>
      </c>
      <c r="D23" s="328" t="s">
        <v>78</v>
      </c>
      <c r="E23" s="130" t="s">
        <v>10</v>
      </c>
      <c r="F23" s="134"/>
      <c r="G23" s="131">
        <v>0.125</v>
      </c>
      <c r="H23" s="295">
        <v>4</v>
      </c>
      <c r="I23" s="130" t="s">
        <v>11</v>
      </c>
      <c r="J23" s="132" t="s">
        <v>12</v>
      </c>
      <c r="L23" s="9" t="s">
        <v>43</v>
      </c>
      <c r="M23" s="10"/>
      <c r="N23" s="21" t="s">
        <v>70</v>
      </c>
      <c r="O23" s="110" t="e">
        <f>M26/Anschließer!I51</f>
        <v>#DIV/0!</v>
      </c>
      <c r="P23" s="11"/>
      <c r="Q23" s="49"/>
      <c r="R23" s="9" t="s">
        <v>58</v>
      </c>
      <c r="S23" s="10"/>
      <c r="T23" s="21" t="s">
        <v>70</v>
      </c>
      <c r="U23" s="110" t="e">
        <f>S26/Anschließer!I51</f>
        <v>#DIV/0!</v>
      </c>
      <c r="V23" s="11"/>
      <c r="X23" s="45" t="s">
        <v>41</v>
      </c>
      <c r="Y23" s="68">
        <f>SUM(Y18:AJ18)</f>
        <v>5</v>
      </c>
      <c r="Z23" s="31" t="s">
        <v>42</v>
      </c>
      <c r="AA23" s="330" t="s">
        <v>88</v>
      </c>
      <c r="AB23" s="331"/>
      <c r="AC23" s="108">
        <f>Y23/SUM(Y23:Y26)</f>
        <v>0.3333333333333333</v>
      </c>
      <c r="AD23" s="106"/>
      <c r="AE23" s="309" t="str">
        <f>ROUND(Y23/(Y23+Y25)%,1)&amp;" % empfangene Waren"</f>
        <v>41,7 % empfangene Waren</v>
      </c>
      <c r="AF23" s="310"/>
      <c r="AG23" s="310"/>
      <c r="AH23" s="310"/>
      <c r="AI23" s="99"/>
      <c r="AJ23" s="102"/>
      <c r="AP23" s="38"/>
      <c r="AQ23" s="88"/>
      <c r="AR23" s="88">
        <f t="shared" si="0"/>
        <v>0</v>
      </c>
      <c r="AS23" s="82">
        <f t="shared" si="1"/>
        <v>0</v>
      </c>
      <c r="AT23" s="82"/>
      <c r="AU23" s="82">
        <f t="shared" si="2"/>
        <v>0.125</v>
      </c>
      <c r="AV23" s="82">
        <f t="shared" si="3"/>
        <v>0</v>
      </c>
      <c r="AW23" s="82"/>
      <c r="AX23" s="82">
        <f t="shared" si="4"/>
        <v>0</v>
      </c>
      <c r="AY23" s="82">
        <f t="shared" si="5"/>
        <v>0</v>
      </c>
      <c r="AZ23" s="82"/>
      <c r="BA23" s="82">
        <f t="shared" si="6"/>
        <v>0</v>
      </c>
      <c r="BB23" s="82">
        <f t="shared" si="7"/>
        <v>0</v>
      </c>
      <c r="BC23" s="82"/>
      <c r="BD23" s="82">
        <f t="shared" si="8"/>
        <v>0</v>
      </c>
      <c r="BE23" s="82">
        <f t="shared" si="9"/>
        <v>0</v>
      </c>
      <c r="BF23" s="82"/>
      <c r="BG23" s="82">
        <f t="shared" si="10"/>
        <v>0</v>
      </c>
      <c r="BH23" s="79">
        <f t="shared" si="11"/>
        <v>0</v>
      </c>
      <c r="BI23" s="82"/>
      <c r="BJ23" s="80" t="b">
        <f t="shared" si="12"/>
        <v>1</v>
      </c>
      <c r="BK23" s="79"/>
      <c r="BL23" s="38"/>
    </row>
    <row r="24" spans="3:64" ht="15" customHeight="1">
      <c r="C24" s="282"/>
      <c r="D24" s="329"/>
      <c r="E24" s="130" t="s">
        <v>13</v>
      </c>
      <c r="F24" s="134"/>
      <c r="G24" s="131">
        <v>0.125</v>
      </c>
      <c r="H24" s="297"/>
      <c r="I24" s="130" t="s">
        <v>11</v>
      </c>
      <c r="J24" s="132" t="s">
        <v>12</v>
      </c>
      <c r="L24" s="12" t="s">
        <v>41</v>
      </c>
      <c r="M24" s="5" t="s">
        <v>40</v>
      </c>
      <c r="N24" s="5"/>
      <c r="O24" s="5"/>
      <c r="P24" s="13"/>
      <c r="Q24" s="49"/>
      <c r="R24" s="12" t="s">
        <v>41</v>
      </c>
      <c r="S24" s="5" t="s">
        <v>40</v>
      </c>
      <c r="T24" s="5"/>
      <c r="U24" s="5"/>
      <c r="V24" s="13"/>
      <c r="X24" s="46" t="s">
        <v>75</v>
      </c>
      <c r="Y24" s="68">
        <f>SUM(Y19:AJ19)</f>
        <v>3</v>
      </c>
      <c r="Z24" s="31" t="str">
        <f>IF(Y24&gt;0,"Wg/Tag","")</f>
        <v>Wg/Tag</v>
      </c>
      <c r="AA24" s="330" t="s">
        <v>88</v>
      </c>
      <c r="AB24" s="331"/>
      <c r="AC24" s="108">
        <f>Y24/SUM(Y23:Y26)</f>
        <v>0.2</v>
      </c>
      <c r="AD24" s="101"/>
      <c r="AE24" s="309" t="str">
        <f>ROUND(Y25/(Y23+Y25)%,1)&amp;" % versendete Waren"</f>
        <v>58,3 % versendete Waren</v>
      </c>
      <c r="AF24" s="310"/>
      <c r="AG24" s="310"/>
      <c r="AH24" s="310"/>
      <c r="AI24" s="99"/>
      <c r="AJ24" s="102"/>
      <c r="AP24" s="38"/>
      <c r="AQ24" s="88"/>
      <c r="AR24" s="88">
        <f t="shared" si="0"/>
        <v>0</v>
      </c>
      <c r="AS24" s="82">
        <f t="shared" si="1"/>
        <v>0</v>
      </c>
      <c r="AT24" s="82"/>
      <c r="AU24" s="82">
        <f t="shared" si="2"/>
        <v>0.125</v>
      </c>
      <c r="AV24" s="82">
        <f t="shared" si="3"/>
        <v>0</v>
      </c>
      <c r="AW24" s="82"/>
      <c r="AX24" s="82">
        <f t="shared" si="4"/>
        <v>0</v>
      </c>
      <c r="AY24" s="82">
        <f t="shared" si="5"/>
        <v>0</v>
      </c>
      <c r="AZ24" s="82"/>
      <c r="BA24" s="82">
        <f t="shared" si="6"/>
        <v>0</v>
      </c>
      <c r="BB24" s="82">
        <f t="shared" si="7"/>
        <v>0</v>
      </c>
      <c r="BC24" s="82"/>
      <c r="BD24" s="82">
        <f t="shared" si="8"/>
        <v>0</v>
      </c>
      <c r="BE24" s="82">
        <f t="shared" si="9"/>
        <v>0</v>
      </c>
      <c r="BF24" s="82"/>
      <c r="BG24" s="82">
        <f t="shared" si="10"/>
        <v>0</v>
      </c>
      <c r="BH24" s="79">
        <f t="shared" si="11"/>
        <v>0</v>
      </c>
      <c r="BI24" s="82"/>
      <c r="BJ24" s="80" t="b">
        <f t="shared" si="12"/>
        <v>1</v>
      </c>
      <c r="BK24" s="79"/>
      <c r="BL24" s="38"/>
    </row>
    <row r="25" spans="3:64" ht="15" customHeight="1">
      <c r="C25" s="282"/>
      <c r="D25" s="299" t="str">
        <f>"Gesamt "&amp;SUM(F23:G32)&amp;" Wagen/Tag"</f>
        <v>Gesamt 3,5 Wagen/Tag</v>
      </c>
      <c r="E25" s="130" t="s">
        <v>14</v>
      </c>
      <c r="F25" s="134"/>
      <c r="G25" s="131">
        <v>0.25</v>
      </c>
      <c r="H25" s="297"/>
      <c r="I25" s="130" t="s">
        <v>11</v>
      </c>
      <c r="J25" s="132" t="s">
        <v>12</v>
      </c>
      <c r="L25" s="55">
        <f>SUM(Anschließer!AU19:AU50)</f>
        <v>0.5</v>
      </c>
      <c r="M25" s="56">
        <f>SUM(Anschließer!AV19:AV50)</f>
        <v>1.5</v>
      </c>
      <c r="N25" s="24" t="s">
        <v>42</v>
      </c>
      <c r="O25" s="6"/>
      <c r="P25" s="14"/>
      <c r="Q25" s="49"/>
      <c r="R25" s="50">
        <f>SUM(Anschließer!BD19:BD50)</f>
        <v>0</v>
      </c>
      <c r="S25" s="51">
        <f>SUM(Anschließer!BE19:BE50)</f>
        <v>0</v>
      </c>
      <c r="T25" s="24" t="s">
        <v>42</v>
      </c>
      <c r="U25" s="6"/>
      <c r="V25" s="14"/>
      <c r="X25" s="47" t="s">
        <v>40</v>
      </c>
      <c r="Y25" s="68">
        <f>SUM(Y20:AJ20)</f>
        <v>7</v>
      </c>
      <c r="Z25" s="31" t="s">
        <v>42</v>
      </c>
      <c r="AA25" s="324" t="s">
        <v>88</v>
      </c>
      <c r="AB25" s="325"/>
      <c r="AC25" s="111">
        <f>Y25/SUM(Y23:Y26)</f>
        <v>0.4666666666666667</v>
      </c>
      <c r="AD25" s="102"/>
      <c r="AE25" s="311" t="str">
        <f>ROUND(O45/O43%,1)&amp;" % der gesamt Wagenmenge werden wiederbeladen."</f>
        <v>-100 % der gesamt Wagenmenge werden wiederbeladen.</v>
      </c>
      <c r="AF25" s="312"/>
      <c r="AG25" s="312"/>
      <c r="AH25" s="312"/>
      <c r="AI25" s="312"/>
      <c r="AJ25" s="313"/>
      <c r="AP25" s="38"/>
      <c r="AQ25" s="88"/>
      <c r="AR25" s="88">
        <f t="shared" si="0"/>
        <v>0</v>
      </c>
      <c r="AS25" s="82">
        <f t="shared" si="1"/>
        <v>0</v>
      </c>
      <c r="AT25" s="82"/>
      <c r="AU25" s="82">
        <f t="shared" si="2"/>
        <v>0.25</v>
      </c>
      <c r="AV25" s="82">
        <f t="shared" si="3"/>
        <v>0</v>
      </c>
      <c r="AW25" s="82"/>
      <c r="AX25" s="82">
        <f t="shared" si="4"/>
        <v>0</v>
      </c>
      <c r="AY25" s="82">
        <f t="shared" si="5"/>
        <v>0</v>
      </c>
      <c r="AZ25" s="82"/>
      <c r="BA25" s="82">
        <f t="shared" si="6"/>
        <v>0</v>
      </c>
      <c r="BB25" s="82">
        <f t="shared" si="7"/>
        <v>0</v>
      </c>
      <c r="BC25" s="82"/>
      <c r="BD25" s="82">
        <f t="shared" si="8"/>
        <v>0</v>
      </c>
      <c r="BE25" s="82">
        <f t="shared" si="9"/>
        <v>0</v>
      </c>
      <c r="BF25" s="82"/>
      <c r="BG25" s="82">
        <f t="shared" si="10"/>
        <v>0</v>
      </c>
      <c r="BH25" s="79">
        <f t="shared" si="11"/>
        <v>0</v>
      </c>
      <c r="BI25" s="82"/>
      <c r="BJ25" s="80" t="b">
        <f t="shared" si="12"/>
        <v>1</v>
      </c>
      <c r="BK25" s="79"/>
      <c r="BL25" s="38"/>
    </row>
    <row r="26" spans="3:64" ht="15" customHeight="1">
      <c r="C26" s="282"/>
      <c r="D26" s="300"/>
      <c r="E26" s="130" t="s">
        <v>15</v>
      </c>
      <c r="F26" s="131">
        <v>1.5</v>
      </c>
      <c r="G26" s="222"/>
      <c r="H26" s="297"/>
      <c r="I26" s="130" t="s">
        <v>11</v>
      </c>
      <c r="J26" s="132" t="s">
        <v>12</v>
      </c>
      <c r="L26" s="15" t="s">
        <v>71</v>
      </c>
      <c r="M26" s="7">
        <f>L25+M25</f>
        <v>2</v>
      </c>
      <c r="N26" s="6" t="s">
        <v>42</v>
      </c>
      <c r="O26" s="6"/>
      <c r="P26" s="14"/>
      <c r="Q26" s="49"/>
      <c r="R26" s="15" t="s">
        <v>71</v>
      </c>
      <c r="S26" s="7">
        <f>R25+S25</f>
        <v>0</v>
      </c>
      <c r="T26" s="6" t="s">
        <v>42</v>
      </c>
      <c r="U26" s="6"/>
      <c r="V26" s="14"/>
      <c r="X26" s="48" t="s">
        <v>76</v>
      </c>
      <c r="Y26" s="78">
        <f>SUM(AC21:AJ21)</f>
        <v>0</v>
      </c>
      <c r="Z26" s="32">
        <f>IF(Y26&gt;0,"Wg/Tag","")</f>
      </c>
      <c r="AA26" s="326" t="s">
        <v>88</v>
      </c>
      <c r="AB26" s="327"/>
      <c r="AC26" s="109">
        <f>Y26/SUM(Y23:Y26)</f>
        <v>0</v>
      </c>
      <c r="AD26" s="103"/>
      <c r="AE26" s="314"/>
      <c r="AF26" s="315"/>
      <c r="AG26" s="315"/>
      <c r="AH26" s="315"/>
      <c r="AI26" s="315"/>
      <c r="AJ26" s="316"/>
      <c r="AP26" s="38"/>
      <c r="AQ26" s="88"/>
      <c r="AR26" s="88">
        <f t="shared" si="0"/>
        <v>0</v>
      </c>
      <c r="AS26" s="82">
        <f t="shared" si="1"/>
        <v>0</v>
      </c>
      <c r="AT26" s="82"/>
      <c r="AU26" s="82">
        <f t="shared" si="2"/>
        <v>0</v>
      </c>
      <c r="AV26" s="82">
        <f t="shared" si="3"/>
        <v>1.5</v>
      </c>
      <c r="AW26" s="82"/>
      <c r="AX26" s="82">
        <f t="shared" si="4"/>
        <v>0</v>
      </c>
      <c r="AY26" s="82">
        <f t="shared" si="5"/>
        <v>0</v>
      </c>
      <c r="AZ26" s="82"/>
      <c r="BA26" s="82">
        <f t="shared" si="6"/>
        <v>0</v>
      </c>
      <c r="BB26" s="82">
        <f t="shared" si="7"/>
        <v>0</v>
      </c>
      <c r="BC26" s="82"/>
      <c r="BD26" s="82">
        <f t="shared" si="8"/>
        <v>0</v>
      </c>
      <c r="BE26" s="82">
        <f t="shared" si="9"/>
        <v>0</v>
      </c>
      <c r="BF26" s="82"/>
      <c r="BG26" s="82">
        <f t="shared" si="10"/>
        <v>0</v>
      </c>
      <c r="BH26" s="79">
        <f t="shared" si="11"/>
        <v>0</v>
      </c>
      <c r="BI26" s="82"/>
      <c r="BJ26" s="80" t="b">
        <f t="shared" si="12"/>
        <v>1</v>
      </c>
      <c r="BK26" s="79"/>
      <c r="BL26" s="38"/>
    </row>
    <row r="27" spans="3:64" ht="15" customHeight="1">
      <c r="C27" s="282"/>
      <c r="D27" s="135"/>
      <c r="E27" s="130" t="s">
        <v>16</v>
      </c>
      <c r="F27" s="222"/>
      <c r="G27" s="131">
        <v>0.25</v>
      </c>
      <c r="H27" s="297"/>
      <c r="I27" s="130" t="s">
        <v>17</v>
      </c>
      <c r="J27" s="132" t="s">
        <v>18</v>
      </c>
      <c r="L27" s="16"/>
      <c r="M27" s="8"/>
      <c r="N27" s="5"/>
      <c r="O27" s="5"/>
      <c r="P27" s="13"/>
      <c r="Q27" s="49"/>
      <c r="R27" s="16"/>
      <c r="S27" s="8"/>
      <c r="T27" s="5"/>
      <c r="U27" s="5"/>
      <c r="V27" s="13"/>
      <c r="X27" s="112"/>
      <c r="Y27" s="105"/>
      <c r="Z27" s="105"/>
      <c r="AA27" s="105"/>
      <c r="AB27" s="105"/>
      <c r="AC27" s="105"/>
      <c r="AD27" s="105"/>
      <c r="AE27" s="113"/>
      <c r="AF27" s="113"/>
      <c r="AG27" s="113"/>
      <c r="AH27" s="113"/>
      <c r="AI27" s="113"/>
      <c r="AJ27" s="113"/>
      <c r="AP27" s="38"/>
      <c r="AQ27" s="88"/>
      <c r="AR27" s="88">
        <f t="shared" si="0"/>
        <v>0.25</v>
      </c>
      <c r="AS27" s="82">
        <f t="shared" si="1"/>
        <v>0</v>
      </c>
      <c r="AT27" s="82"/>
      <c r="AU27" s="82">
        <f t="shared" si="2"/>
        <v>0</v>
      </c>
      <c r="AV27" s="82">
        <f t="shared" si="3"/>
        <v>0</v>
      </c>
      <c r="AW27" s="82"/>
      <c r="AX27" s="82">
        <f t="shared" si="4"/>
        <v>0</v>
      </c>
      <c r="AY27" s="82">
        <f t="shared" si="5"/>
        <v>0</v>
      </c>
      <c r="AZ27" s="82"/>
      <c r="BA27" s="82">
        <f t="shared" si="6"/>
        <v>0</v>
      </c>
      <c r="BB27" s="82">
        <f t="shared" si="7"/>
        <v>0</v>
      </c>
      <c r="BC27" s="82"/>
      <c r="BD27" s="82">
        <f t="shared" si="8"/>
        <v>0</v>
      </c>
      <c r="BE27" s="82">
        <f t="shared" si="9"/>
        <v>0</v>
      </c>
      <c r="BF27" s="82"/>
      <c r="BG27" s="82">
        <f t="shared" si="10"/>
        <v>0</v>
      </c>
      <c r="BH27" s="79">
        <f t="shared" si="11"/>
        <v>0</v>
      </c>
      <c r="BI27" s="82"/>
      <c r="BJ27" s="80" t="b">
        <f t="shared" si="12"/>
        <v>1</v>
      </c>
      <c r="BK27" s="79"/>
      <c r="BL27" s="38"/>
    </row>
    <row r="28" spans="3:64" ht="15" customHeight="1">
      <c r="C28" s="282"/>
      <c r="D28" s="135"/>
      <c r="E28" s="130" t="s">
        <v>19</v>
      </c>
      <c r="F28" s="131">
        <v>0.25</v>
      </c>
      <c r="G28" s="222"/>
      <c r="H28" s="297"/>
      <c r="I28" s="130" t="s">
        <v>17</v>
      </c>
      <c r="J28" s="132" t="s">
        <v>22</v>
      </c>
      <c r="L28" s="52" t="str">
        <f>IF(M25&lt;L25,"Leer Wg überschuss","Leer Wg bedarf")</f>
        <v>Leer Wg bedarf</v>
      </c>
      <c r="M28" s="17">
        <f>M25-L25</f>
        <v>1</v>
      </c>
      <c r="N28" s="4" t="s">
        <v>42</v>
      </c>
      <c r="O28" s="18"/>
      <c r="P28" s="19"/>
      <c r="Q28" s="49"/>
      <c r="R28" s="52" t="str">
        <f>IF(S25&lt;R25,"Leer Wg überschuss","Leer Wg bedarf")</f>
        <v>Leer Wg bedarf</v>
      </c>
      <c r="S28" s="17">
        <f>S25-R25</f>
        <v>0</v>
      </c>
      <c r="T28" s="4" t="s">
        <v>42</v>
      </c>
      <c r="U28" s="18"/>
      <c r="V28" s="19"/>
      <c r="X28" s="43"/>
      <c r="Y28" s="304" t="s">
        <v>74</v>
      </c>
      <c r="Z28" s="305"/>
      <c r="AA28" s="306" t="s">
        <v>43</v>
      </c>
      <c r="AB28" s="305"/>
      <c r="AC28" s="304" t="s">
        <v>44</v>
      </c>
      <c r="AD28" s="305"/>
      <c r="AE28" s="304" t="s">
        <v>45</v>
      </c>
      <c r="AF28" s="305"/>
      <c r="AG28" s="304" t="s">
        <v>58</v>
      </c>
      <c r="AH28" s="306"/>
      <c r="AI28" s="307" t="s">
        <v>77</v>
      </c>
      <c r="AJ28" s="308"/>
      <c r="AL28" s="34"/>
      <c r="AP28" s="38"/>
      <c r="AQ28" s="88"/>
      <c r="AR28" s="88">
        <f t="shared" si="0"/>
        <v>0</v>
      </c>
      <c r="AS28" s="82">
        <f t="shared" si="1"/>
        <v>0</v>
      </c>
      <c r="AT28" s="82"/>
      <c r="AU28" s="82">
        <f t="shared" si="2"/>
        <v>0</v>
      </c>
      <c r="AV28" s="82">
        <f t="shared" si="3"/>
        <v>0</v>
      </c>
      <c r="AW28" s="82"/>
      <c r="AX28" s="82">
        <f t="shared" si="4"/>
        <v>0</v>
      </c>
      <c r="AY28" s="82">
        <f t="shared" si="5"/>
        <v>0.25</v>
      </c>
      <c r="AZ28" s="82"/>
      <c r="BA28" s="82">
        <f t="shared" si="6"/>
        <v>0</v>
      </c>
      <c r="BB28" s="82">
        <f t="shared" si="7"/>
        <v>0</v>
      </c>
      <c r="BC28" s="82"/>
      <c r="BD28" s="82">
        <f t="shared" si="8"/>
        <v>0</v>
      </c>
      <c r="BE28" s="82">
        <f t="shared" si="9"/>
        <v>0</v>
      </c>
      <c r="BF28" s="82"/>
      <c r="BG28" s="82">
        <f t="shared" si="10"/>
        <v>0</v>
      </c>
      <c r="BH28" s="79">
        <f t="shared" si="11"/>
        <v>0</v>
      </c>
      <c r="BI28" s="82"/>
      <c r="BJ28" s="80" t="b">
        <f t="shared" si="12"/>
        <v>1</v>
      </c>
      <c r="BK28" s="79"/>
      <c r="BL28" s="38"/>
    </row>
    <row r="29" spans="3:64" ht="15" customHeight="1">
      <c r="C29" s="282"/>
      <c r="D29" s="135"/>
      <c r="E29" s="130" t="s">
        <v>7</v>
      </c>
      <c r="F29" s="131">
        <v>0.25</v>
      </c>
      <c r="G29" s="134"/>
      <c r="H29" s="297"/>
      <c r="I29" s="130" t="s">
        <v>20</v>
      </c>
      <c r="J29" s="132" t="s">
        <v>9</v>
      </c>
      <c r="L29" s="53"/>
      <c r="M29" s="53"/>
      <c r="N29" s="53"/>
      <c r="O29" s="53"/>
      <c r="P29" s="53"/>
      <c r="Q29" s="49"/>
      <c r="R29" s="53"/>
      <c r="S29" s="53"/>
      <c r="T29" s="53"/>
      <c r="U29" s="53"/>
      <c r="V29" s="53"/>
      <c r="X29" s="40" t="s">
        <v>41</v>
      </c>
      <c r="Y29" s="73">
        <f>ROUND((L18*5),0)</f>
        <v>16</v>
      </c>
      <c r="Z29" s="72" t="s">
        <v>81</v>
      </c>
      <c r="AA29" s="69">
        <f>ROUND((AA18*5),0)</f>
        <v>5</v>
      </c>
      <c r="AB29" s="72" t="s">
        <v>81</v>
      </c>
      <c r="AC29" s="69">
        <f>ROUND(IF(L33=0,0,L33*5),0)</f>
        <v>1</v>
      </c>
      <c r="AD29" s="72" t="str">
        <f>IF(AC29=0,"","Wg/Wo")</f>
        <v>Wg/Wo</v>
      </c>
      <c r="AE29" s="69">
        <f>ROUND(IF(R18=0,0,R18*5),0)</f>
        <v>0</v>
      </c>
      <c r="AF29" s="72">
        <f>IF(AE29=0,"","Wg/Wo")</f>
      </c>
      <c r="AG29" s="69">
        <f>ROUND(IF(AG18=0,0,AG18*5),0)</f>
        <v>0</v>
      </c>
      <c r="AH29" s="72">
        <f>IF(AG29=0,"","Wg/Wo")</f>
      </c>
      <c r="AI29" s="69">
        <f>ROUND(IF(AI18=0,"",AI18*5),0)</f>
        <v>5</v>
      </c>
      <c r="AJ29" s="26" t="str">
        <f>IF(AI29=0,"","Wg/Wo")</f>
        <v>Wg/Wo</v>
      </c>
      <c r="AP29" s="38"/>
      <c r="AQ29" s="88"/>
      <c r="AR29" s="88">
        <f t="shared" si="0"/>
        <v>0</v>
      </c>
      <c r="AS29" s="82">
        <f t="shared" si="1"/>
        <v>0</v>
      </c>
      <c r="AT29" s="82"/>
      <c r="AU29" s="82">
        <f t="shared" si="2"/>
        <v>0</v>
      </c>
      <c r="AV29" s="82">
        <f t="shared" si="3"/>
        <v>0</v>
      </c>
      <c r="AW29" s="82"/>
      <c r="AX29" s="82">
        <f t="shared" si="4"/>
        <v>0</v>
      </c>
      <c r="AY29" s="82">
        <f t="shared" si="5"/>
        <v>0</v>
      </c>
      <c r="AZ29" s="82"/>
      <c r="BA29" s="82">
        <f t="shared" si="6"/>
        <v>0</v>
      </c>
      <c r="BB29" s="82">
        <f t="shared" si="7"/>
        <v>0.25</v>
      </c>
      <c r="BC29" s="82"/>
      <c r="BD29" s="82">
        <f t="shared" si="8"/>
        <v>0</v>
      </c>
      <c r="BE29" s="82">
        <f t="shared" si="9"/>
        <v>0</v>
      </c>
      <c r="BF29" s="82"/>
      <c r="BG29" s="82">
        <f t="shared" si="10"/>
        <v>0</v>
      </c>
      <c r="BH29" s="79">
        <f t="shared" si="11"/>
        <v>0</v>
      </c>
      <c r="BI29" s="82"/>
      <c r="BJ29" s="80" t="b">
        <f>OR(J32="G",J32="S",J32="R",J32="O",J32="Z",J32="versch.")</f>
        <v>1</v>
      </c>
      <c r="BK29" s="79"/>
      <c r="BL29" s="38"/>
    </row>
    <row r="30" spans="3:64" ht="15" customHeight="1">
      <c r="C30" s="282"/>
      <c r="D30" s="135"/>
      <c r="E30" s="130" t="s">
        <v>21</v>
      </c>
      <c r="F30" s="134"/>
      <c r="G30" s="131">
        <v>0.125</v>
      </c>
      <c r="H30" s="297"/>
      <c r="I30" s="130" t="s">
        <v>20</v>
      </c>
      <c r="J30" s="132" t="s">
        <v>22</v>
      </c>
      <c r="L30" s="9" t="s">
        <v>44</v>
      </c>
      <c r="M30" s="10"/>
      <c r="N30" s="21" t="s">
        <v>70</v>
      </c>
      <c r="O30" s="110" t="e">
        <f>M34/Anschließer!I51</f>
        <v>#DIV/0!</v>
      </c>
      <c r="P30" s="11"/>
      <c r="Q30" s="49"/>
      <c r="R30" s="9" t="s">
        <v>59</v>
      </c>
      <c r="S30" s="10"/>
      <c r="T30" s="21" t="s">
        <v>70</v>
      </c>
      <c r="U30" s="110" t="e">
        <f>S34/Anschließer!I51</f>
        <v>#DIV/0!</v>
      </c>
      <c r="V30" s="11"/>
      <c r="X30" s="41" t="s">
        <v>75</v>
      </c>
      <c r="Y30" s="71">
        <f>ROUND(IF(AR54&gt;0,AR54*5,0),0)</f>
        <v>0</v>
      </c>
      <c r="Z30" s="75">
        <f>IF(Y26&gt;0,"Wg/Wo","")</f>
      </c>
      <c r="AA30" s="71">
        <f>ROUND(IF(AT54&gt;0,AT54*5,0),0)</f>
        <v>5</v>
      </c>
      <c r="AB30" s="75" t="str">
        <f>IF(AT54&gt;0,"Wg/Wo","")</f>
        <v>Wg/Wo</v>
      </c>
      <c r="AC30" s="71">
        <f>ROUND(IF(AV54&gt;0,AV54*5,0),0)</f>
        <v>0</v>
      </c>
      <c r="AD30" s="75">
        <f>IF(AV54&gt;0,"Wg/Wo","")</f>
      </c>
      <c r="AE30" s="71">
        <f>ROUND(IF(AX54&gt;0,AX54*5,0),0)</f>
        <v>5</v>
      </c>
      <c r="AF30" s="75" t="str">
        <f>IF(AX54&gt;0,"Wg/Wo","")</f>
        <v>Wg/Wo</v>
      </c>
      <c r="AG30" s="71">
        <f>ROUND(IF(AZ54&gt;0,AZ54*5,0),0)</f>
        <v>0</v>
      </c>
      <c r="AH30" s="75">
        <f>IF(AZ54&gt;0,"Wg/Wo","")</f>
      </c>
      <c r="AI30" s="71">
        <f>ROUND(IF(BB54&gt;0,BB54*5,0),0)</f>
        <v>5</v>
      </c>
      <c r="AJ30" s="118" t="str">
        <f>IF(BB54&gt;0,"Wg/Wo","")</f>
        <v>Wg/Wo</v>
      </c>
      <c r="AP30" s="38"/>
      <c r="AQ30" s="88"/>
      <c r="AR30" s="88">
        <f t="shared" si="0"/>
        <v>0</v>
      </c>
      <c r="AS30" s="82">
        <f t="shared" si="1"/>
        <v>0</v>
      </c>
      <c r="AT30" s="82"/>
      <c r="AU30" s="82">
        <f t="shared" si="2"/>
        <v>0</v>
      </c>
      <c r="AV30" s="82">
        <f t="shared" si="3"/>
        <v>0</v>
      </c>
      <c r="AW30" s="82"/>
      <c r="AX30" s="82">
        <f t="shared" si="4"/>
        <v>0.125</v>
      </c>
      <c r="AY30" s="82">
        <f t="shared" si="5"/>
        <v>0</v>
      </c>
      <c r="AZ30" s="82"/>
      <c r="BA30" s="82">
        <f t="shared" si="6"/>
        <v>0</v>
      </c>
      <c r="BB30" s="82">
        <f t="shared" si="7"/>
        <v>0</v>
      </c>
      <c r="BC30" s="82"/>
      <c r="BD30" s="82">
        <f t="shared" si="8"/>
        <v>0</v>
      </c>
      <c r="BE30" s="82">
        <f t="shared" si="9"/>
        <v>0</v>
      </c>
      <c r="BF30" s="82"/>
      <c r="BG30" s="82">
        <f t="shared" si="10"/>
        <v>0</v>
      </c>
      <c r="BH30" s="79">
        <f t="shared" si="11"/>
        <v>0</v>
      </c>
      <c r="BI30" s="82"/>
      <c r="BJ30" s="80" t="b">
        <f>OR(J33="G",J33="S",J33="R",J33="O",J33="Z",J33="versch.")</f>
        <v>1</v>
      </c>
      <c r="BK30" s="79"/>
      <c r="BL30" s="38"/>
    </row>
    <row r="31" spans="3:64" ht="15" customHeight="1">
      <c r="C31" s="282"/>
      <c r="D31" s="135"/>
      <c r="E31" s="130" t="s">
        <v>23</v>
      </c>
      <c r="F31" s="134"/>
      <c r="G31" s="131">
        <v>0.125</v>
      </c>
      <c r="H31" s="297"/>
      <c r="I31" s="130" t="s">
        <v>20</v>
      </c>
      <c r="J31" s="132" t="s">
        <v>18</v>
      </c>
      <c r="L31" s="218"/>
      <c r="M31" s="6"/>
      <c r="N31" s="219"/>
      <c r="O31" s="220"/>
      <c r="P31" s="14"/>
      <c r="Q31" s="49"/>
      <c r="R31" s="218"/>
      <c r="S31" s="6"/>
      <c r="T31" s="219"/>
      <c r="U31" s="220"/>
      <c r="V31" s="14"/>
      <c r="X31" s="41"/>
      <c r="Y31" s="71"/>
      <c r="Z31" s="75"/>
      <c r="AA31" s="229"/>
      <c r="AB31" s="75"/>
      <c r="AC31" s="229"/>
      <c r="AD31" s="75"/>
      <c r="AE31" s="229"/>
      <c r="AF31" s="75"/>
      <c r="AG31" s="229"/>
      <c r="AH31" s="75"/>
      <c r="AI31" s="229"/>
      <c r="AJ31" s="118"/>
      <c r="AP31" s="38"/>
      <c r="AQ31" s="88"/>
      <c r="AR31" s="88"/>
      <c r="AS31" s="82"/>
      <c r="AT31" s="82"/>
      <c r="AU31" s="82"/>
      <c r="AV31" s="82"/>
      <c r="AW31" s="82"/>
      <c r="AX31" s="82"/>
      <c r="AY31" s="82"/>
      <c r="AZ31" s="82"/>
      <c r="BA31" s="82"/>
      <c r="BB31" s="82"/>
      <c r="BC31" s="82"/>
      <c r="BD31" s="82"/>
      <c r="BE31" s="82"/>
      <c r="BF31" s="82"/>
      <c r="BG31" s="82"/>
      <c r="BH31" s="79"/>
      <c r="BI31" s="82"/>
      <c r="BJ31" s="80"/>
      <c r="BK31" s="79"/>
      <c r="BL31" s="38"/>
    </row>
    <row r="32" spans="3:64" ht="15" customHeight="1">
      <c r="C32" s="283"/>
      <c r="D32" s="136"/>
      <c r="E32" s="130" t="s">
        <v>15</v>
      </c>
      <c r="F32" s="131">
        <v>0.5</v>
      </c>
      <c r="G32" s="222"/>
      <c r="H32" s="298"/>
      <c r="I32" s="130" t="s">
        <v>116</v>
      </c>
      <c r="J32" s="248" t="s">
        <v>31</v>
      </c>
      <c r="L32" s="12" t="s">
        <v>41</v>
      </c>
      <c r="M32" s="5" t="s">
        <v>40</v>
      </c>
      <c r="N32" s="5"/>
      <c r="O32" s="5"/>
      <c r="P32" s="13"/>
      <c r="Q32" s="49"/>
      <c r="R32" s="12" t="s">
        <v>41</v>
      </c>
      <c r="S32" s="5" t="s">
        <v>40</v>
      </c>
      <c r="T32" s="5"/>
      <c r="U32" s="5"/>
      <c r="V32" s="13"/>
      <c r="X32" s="42" t="s">
        <v>40</v>
      </c>
      <c r="Y32" s="73">
        <f>ROUND(M18*5,0)</f>
        <v>10</v>
      </c>
      <c r="Z32" s="72" t="s">
        <v>81</v>
      </c>
      <c r="AA32" s="69">
        <f>ROUND(M25*5,0)</f>
        <v>8</v>
      </c>
      <c r="AB32" s="72" t="s">
        <v>81</v>
      </c>
      <c r="AC32" s="69">
        <f>ROUND(M33*5,0)</f>
        <v>1</v>
      </c>
      <c r="AD32" s="72" t="str">
        <f>IF(AC32=0,"","Wg/Wo")</f>
        <v>Wg/Wo</v>
      </c>
      <c r="AE32" s="69">
        <f>ROUND(S18*5,0)</f>
        <v>6</v>
      </c>
      <c r="AF32" s="72" t="str">
        <f>IF(AE32=0,"","Wg/Wo")</f>
        <v>Wg/Wo</v>
      </c>
      <c r="AG32" s="69">
        <f>ROUND(S25*5,0)</f>
        <v>0</v>
      </c>
      <c r="AH32" s="72">
        <f>IF(AG32=0,"","Wg/Wo")</f>
      </c>
      <c r="AI32" s="69">
        <f>ROUND(S33*5,0)</f>
        <v>8</v>
      </c>
      <c r="AJ32" s="26" t="str">
        <f>IF(AI32=0,"","Wg/Wo")</f>
        <v>Wg/Wo</v>
      </c>
      <c r="AP32" s="38"/>
      <c r="AQ32" s="88"/>
      <c r="AR32" s="88">
        <f t="shared" si="0"/>
        <v>0</v>
      </c>
      <c r="AS32" s="82">
        <f t="shared" si="1"/>
        <v>0</v>
      </c>
      <c r="AT32" s="82"/>
      <c r="AU32" s="82">
        <f t="shared" si="2"/>
        <v>0</v>
      </c>
      <c r="AV32" s="82">
        <f t="shared" si="3"/>
        <v>0</v>
      </c>
      <c r="AW32" s="82"/>
      <c r="AX32" s="82">
        <f t="shared" si="4"/>
        <v>0</v>
      </c>
      <c r="AY32" s="82">
        <f t="shared" si="5"/>
        <v>0</v>
      </c>
      <c r="AZ32" s="82"/>
      <c r="BA32" s="82">
        <f t="shared" si="6"/>
        <v>0</v>
      </c>
      <c r="BB32" s="82">
        <f t="shared" si="7"/>
        <v>0</v>
      </c>
      <c r="BC32" s="82"/>
      <c r="BD32" s="82">
        <f t="shared" si="8"/>
        <v>0</v>
      </c>
      <c r="BE32" s="82">
        <f t="shared" si="9"/>
        <v>0</v>
      </c>
      <c r="BF32" s="82"/>
      <c r="BG32" s="82">
        <f t="shared" si="10"/>
        <v>0</v>
      </c>
      <c r="BH32" s="79">
        <f t="shared" si="11"/>
        <v>0.5</v>
      </c>
      <c r="BI32" s="82"/>
      <c r="BJ32" s="80"/>
      <c r="BK32" s="79"/>
      <c r="BL32" s="38"/>
    </row>
    <row r="33" spans="3:64" ht="15" customHeight="1">
      <c r="C33" s="128">
        <v>4</v>
      </c>
      <c r="D33" s="129" t="s">
        <v>24</v>
      </c>
      <c r="E33" s="130" t="s">
        <v>117</v>
      </c>
      <c r="F33" s="131">
        <v>1</v>
      </c>
      <c r="G33" s="134">
        <f>F33</f>
        <v>1</v>
      </c>
      <c r="H33" s="222">
        <v>1</v>
      </c>
      <c r="I33" s="130" t="s">
        <v>153</v>
      </c>
      <c r="J33" s="137" t="s">
        <v>31</v>
      </c>
      <c r="L33" s="50">
        <f>SUM(Anschließer!AX19:AX50)</f>
        <v>0.125</v>
      </c>
      <c r="M33" s="51">
        <f>SUM(Anschließer!AY19:AY50)</f>
        <v>0.25</v>
      </c>
      <c r="N33" s="24" t="s">
        <v>42</v>
      </c>
      <c r="O33" s="6"/>
      <c r="P33" s="14"/>
      <c r="Q33" s="49"/>
      <c r="R33" s="50">
        <f>SUM(Anschließer!BG19:BG50)</f>
        <v>1</v>
      </c>
      <c r="S33" s="51">
        <f>SUM(Anschließer!BH19:BH50)</f>
        <v>1.5</v>
      </c>
      <c r="T33" s="24" t="s">
        <v>42</v>
      </c>
      <c r="U33" s="6"/>
      <c r="V33" s="14"/>
      <c r="X33" s="44" t="s">
        <v>76</v>
      </c>
      <c r="Y33" s="119">
        <f>ROUND(IF(AR54&lt;0,ABS(AR54)*5,0),0)</f>
        <v>5</v>
      </c>
      <c r="Z33" s="115" t="str">
        <f>IF(AR54&lt;0,"Wg/Wo","")</f>
        <v>Wg/Wo</v>
      </c>
      <c r="AA33" s="119">
        <f>ROUND(IF(AT54&lt;0,ABS(AT54)*5,0),0)</f>
        <v>0</v>
      </c>
      <c r="AB33" s="115">
        <f>IF(AT54&lt;0,"Wg/Wo","")</f>
      </c>
      <c r="AC33" s="119">
        <f>ROUND(IF(AV54&lt;0,ABS(AV54)*5,0),0)</f>
        <v>0</v>
      </c>
      <c r="AD33" s="115">
        <f>IF(AV54&lt;0,"Wg/Wo","")</f>
      </c>
      <c r="AE33" s="119">
        <f>ROUND(IF(AX54&lt;0,ABS(AX54)*5,0),0)</f>
        <v>0</v>
      </c>
      <c r="AF33" s="115">
        <f>IF(AX54&lt;0,"Wg/Wo","")</f>
      </c>
      <c r="AG33" s="119">
        <f>ROUND(IF(AZ54&lt;0,ABS(AZ54)*5,0),0)</f>
        <v>0</v>
      </c>
      <c r="AH33" s="115">
        <f>IF(AZ54&lt;0,"Wg/Wo","")</f>
      </c>
      <c r="AI33" s="119">
        <f>ROUND(IF(BB54&lt;0,ABS(BB54)*5,0),0)</f>
        <v>0</v>
      </c>
      <c r="AJ33" s="120">
        <f>IF(BB54&lt;0,"Wg/Wo","")</f>
      </c>
      <c r="AP33" s="38"/>
      <c r="AQ33" s="88"/>
      <c r="AR33" s="88">
        <f t="shared" si="0"/>
        <v>0</v>
      </c>
      <c r="AS33" s="82">
        <f t="shared" si="1"/>
        <v>0</v>
      </c>
      <c r="AT33" s="82"/>
      <c r="AU33" s="82">
        <f t="shared" si="2"/>
        <v>0</v>
      </c>
      <c r="AV33" s="82">
        <f t="shared" si="3"/>
        <v>0</v>
      </c>
      <c r="AW33" s="82"/>
      <c r="AX33" s="82">
        <f t="shared" si="4"/>
        <v>0</v>
      </c>
      <c r="AY33" s="82">
        <f t="shared" si="5"/>
        <v>0</v>
      </c>
      <c r="AZ33" s="82"/>
      <c r="BA33" s="82">
        <f t="shared" si="6"/>
        <v>0</v>
      </c>
      <c r="BB33" s="82">
        <f t="shared" si="7"/>
        <v>0</v>
      </c>
      <c r="BC33" s="82"/>
      <c r="BD33" s="82">
        <f t="shared" si="8"/>
        <v>0</v>
      </c>
      <c r="BE33" s="82">
        <f t="shared" si="9"/>
        <v>0</v>
      </c>
      <c r="BF33" s="82"/>
      <c r="BG33" s="82">
        <f t="shared" si="10"/>
        <v>1</v>
      </c>
      <c r="BH33" s="79">
        <f t="shared" si="11"/>
        <v>1</v>
      </c>
      <c r="BI33" s="82"/>
      <c r="BJ33" s="80"/>
      <c r="BK33" s="79"/>
      <c r="BL33" s="38"/>
    </row>
    <row r="34" spans="3:64" ht="15" customHeight="1">
      <c r="C34" s="353">
        <v>5</v>
      </c>
      <c r="D34" s="354" t="s">
        <v>25</v>
      </c>
      <c r="E34" s="355" t="s">
        <v>26</v>
      </c>
      <c r="F34" s="356"/>
      <c r="G34" s="357"/>
      <c r="H34" s="358"/>
      <c r="I34" s="355" t="s">
        <v>35</v>
      </c>
      <c r="J34" s="359" t="s">
        <v>27</v>
      </c>
      <c r="L34" s="15" t="s">
        <v>71</v>
      </c>
      <c r="M34" s="7">
        <f>L33+M33</f>
        <v>0.375</v>
      </c>
      <c r="N34" s="6" t="s">
        <v>42</v>
      </c>
      <c r="O34" s="6"/>
      <c r="P34" s="14"/>
      <c r="Q34" s="49"/>
      <c r="R34" s="15" t="s">
        <v>71</v>
      </c>
      <c r="S34" s="7">
        <f>R33+S33</f>
        <v>2.5</v>
      </c>
      <c r="T34" s="6" t="s">
        <v>42</v>
      </c>
      <c r="U34" s="6"/>
      <c r="V34" s="14"/>
      <c r="X34" s="317" t="str">
        <f>"Gesamt An- und Abgehende Frachten "&amp;SUM(Y35:Y38)&amp;" Wagen in der Woche."</f>
        <v>Gesamt An- und Abgehende Frachten 75 Wagen in der Woche.</v>
      </c>
      <c r="Y34" s="322"/>
      <c r="Z34" s="322"/>
      <c r="AA34" s="322"/>
      <c r="AB34" s="322"/>
      <c r="AC34" s="322"/>
      <c r="AD34" s="323"/>
      <c r="AE34" s="53"/>
      <c r="AF34" s="53"/>
      <c r="AG34" s="53"/>
      <c r="AH34" s="53"/>
      <c r="AI34" s="53"/>
      <c r="AJ34" s="53"/>
      <c r="AP34" s="38"/>
      <c r="AQ34" s="88"/>
      <c r="AR34" s="88"/>
      <c r="AS34" s="82"/>
      <c r="AT34" s="82"/>
      <c r="AU34" s="82"/>
      <c r="AV34" s="82"/>
      <c r="AW34" s="82"/>
      <c r="AX34" s="82"/>
      <c r="AY34" s="82"/>
      <c r="AZ34" s="82"/>
      <c r="BA34" s="82"/>
      <c r="BB34" s="82"/>
      <c r="BC34" s="82"/>
      <c r="BD34" s="82"/>
      <c r="BE34" s="82"/>
      <c r="BF34" s="82"/>
      <c r="BG34" s="82"/>
      <c r="BH34" s="79"/>
      <c r="BI34" s="82"/>
      <c r="BJ34" s="80" t="b">
        <f>OR(J34="G",J34="S",J34="R",J34="O",J34="Z",J34="versch.")</f>
        <v>1</v>
      </c>
      <c r="BK34" s="79"/>
      <c r="BL34" s="38"/>
    </row>
    <row r="35" spans="3:64" ht="15" customHeight="1">
      <c r="C35" s="360"/>
      <c r="D35" s="361" t="str">
        <f>"Gesamt "&amp;SUM(F34:G40)&amp;" Wagen/Tag"</f>
        <v>Gesamt 0 Wagen/Tag</v>
      </c>
      <c r="E35" s="362"/>
      <c r="F35" s="363"/>
      <c r="G35" s="364"/>
      <c r="H35" s="365"/>
      <c r="I35" s="366"/>
      <c r="J35" s="367"/>
      <c r="L35" s="16"/>
      <c r="M35" s="8"/>
      <c r="N35" s="5"/>
      <c r="O35" s="5"/>
      <c r="P35" s="13"/>
      <c r="Q35" s="49"/>
      <c r="R35" s="16"/>
      <c r="S35" s="8"/>
      <c r="T35" s="5"/>
      <c r="U35" s="5"/>
      <c r="V35" s="13"/>
      <c r="X35" s="45" t="s">
        <v>41</v>
      </c>
      <c r="Y35" s="68">
        <f>SUM(Y29:AJ29)</f>
        <v>27</v>
      </c>
      <c r="Z35" s="31" t="s">
        <v>81</v>
      </c>
      <c r="AA35" s="33"/>
      <c r="AB35" s="33"/>
      <c r="AC35" s="33"/>
      <c r="AD35" s="35"/>
      <c r="AE35" s="53"/>
      <c r="AF35" s="53"/>
      <c r="AG35" s="53"/>
      <c r="AH35" s="53"/>
      <c r="AI35" s="53"/>
      <c r="AJ35" s="53"/>
      <c r="AP35" s="38"/>
      <c r="AQ35" s="88"/>
      <c r="AR35" s="88"/>
      <c r="AS35" s="82"/>
      <c r="AT35" s="82"/>
      <c r="AU35" s="82"/>
      <c r="AV35" s="82"/>
      <c r="AW35" s="82"/>
      <c r="AX35" s="82"/>
      <c r="AY35" s="82"/>
      <c r="AZ35" s="82"/>
      <c r="BA35" s="82"/>
      <c r="BB35" s="82"/>
      <c r="BC35" s="82"/>
      <c r="BD35" s="82"/>
      <c r="BE35" s="82"/>
      <c r="BF35" s="82"/>
      <c r="BG35" s="82"/>
      <c r="BH35" s="79"/>
      <c r="BI35" s="82"/>
      <c r="BJ35" s="80"/>
      <c r="BK35" s="79"/>
      <c r="BL35" s="38"/>
    </row>
    <row r="36" spans="3:64" ht="15" customHeight="1">
      <c r="C36" s="360"/>
      <c r="D36" s="368"/>
      <c r="E36" s="355" t="s">
        <v>80</v>
      </c>
      <c r="F36" s="356"/>
      <c r="G36" s="357"/>
      <c r="H36" s="365"/>
      <c r="I36" s="355" t="s">
        <v>36</v>
      </c>
      <c r="J36" s="359" t="s">
        <v>27</v>
      </c>
      <c r="L36" s="52" t="str">
        <f>IF(M33&lt;L33,"Leer Wg überschuss","Leer Wg bedarf")</f>
        <v>Leer Wg bedarf</v>
      </c>
      <c r="M36" s="17">
        <f>M33-L33</f>
        <v>0.125</v>
      </c>
      <c r="N36" s="4" t="s">
        <v>42</v>
      </c>
      <c r="O36" s="18"/>
      <c r="P36" s="19"/>
      <c r="Q36" s="49"/>
      <c r="R36" s="52" t="str">
        <f>IF(S33&lt;R33,"Leer Wg überschuss","Leer Wg bedarf")</f>
        <v>Leer Wg bedarf</v>
      </c>
      <c r="S36" s="17">
        <f>S33-R33</f>
        <v>0.5</v>
      </c>
      <c r="T36" s="4" t="s">
        <v>42</v>
      </c>
      <c r="U36" s="18"/>
      <c r="V36" s="19"/>
      <c r="X36" s="46" t="s">
        <v>75</v>
      </c>
      <c r="Y36" s="68">
        <f>SUM(Y30:AJ30)</f>
        <v>15</v>
      </c>
      <c r="Z36" s="31" t="str">
        <f>IF(Y36&gt;0,"Wg/Wo","")</f>
        <v>Wg/Wo</v>
      </c>
      <c r="AA36" s="33"/>
      <c r="AB36" s="33"/>
      <c r="AC36" s="33"/>
      <c r="AD36" s="35"/>
      <c r="AE36" s="53"/>
      <c r="AF36" s="53"/>
      <c r="AG36" s="53"/>
      <c r="AH36" s="53"/>
      <c r="AI36" s="53"/>
      <c r="AJ36" s="53"/>
      <c r="AP36" s="38"/>
      <c r="AQ36" s="88"/>
      <c r="AR36" s="88">
        <f aca="true" t="shared" si="13" ref="AR36:AR43">IF(J34="G",(G34*1),0)</f>
        <v>0</v>
      </c>
      <c r="AS36" s="82">
        <f aca="true" t="shared" si="14" ref="AS36:AS43">IF(J34="G",(F34*1),0)</f>
        <v>0</v>
      </c>
      <c r="AT36" s="82"/>
      <c r="AU36" s="82">
        <f aca="true" t="shared" si="15" ref="AU36:AU43">IF(J34="S",(G34*1),0)</f>
        <v>0</v>
      </c>
      <c r="AV36" s="82">
        <f aca="true" t="shared" si="16" ref="AV36:AV43">IF(J34="S",(F34*1),0)</f>
        <v>0</v>
      </c>
      <c r="AW36" s="82"/>
      <c r="AX36" s="82">
        <f aca="true" t="shared" si="17" ref="AX36:AX43">IF(J34="R",(G34*1),0)</f>
        <v>0</v>
      </c>
      <c r="AY36" s="82">
        <f aca="true" t="shared" si="18" ref="AY36:AY43">IF(J34="R",(F34*1),0)</f>
        <v>0</v>
      </c>
      <c r="AZ36" s="82"/>
      <c r="BA36" s="82">
        <f aca="true" t="shared" si="19" ref="BA36:BA43">IF(J34="O",(G34*1),0)</f>
        <v>0</v>
      </c>
      <c r="BB36" s="82">
        <f aca="true" t="shared" si="20" ref="BB36:BB43">IF(J34="O",(F34*1),0)</f>
        <v>0</v>
      </c>
      <c r="BC36" s="82"/>
      <c r="BD36" s="82">
        <f aca="true" t="shared" si="21" ref="BD36:BD43">IF(J34="Z",(G34*1),0)</f>
        <v>0</v>
      </c>
      <c r="BE36" s="82">
        <f aca="true" t="shared" si="22" ref="BE36:BE43">IF(J34="Z",(F34*1),0)</f>
        <v>0</v>
      </c>
      <c r="BF36" s="82"/>
      <c r="BG36" s="82">
        <f aca="true" t="shared" si="23" ref="BG36:BG43">IF(J34="versch.",(G34*1),0)</f>
        <v>0</v>
      </c>
      <c r="BH36" s="79">
        <f aca="true" t="shared" si="24" ref="BH36:BH43">IF(J34="versch.",(F34*1),0)</f>
        <v>0</v>
      </c>
      <c r="BI36" s="82"/>
      <c r="BJ36" s="80" t="b">
        <f>OR(J36="G",J36="S",J36="R",J36="O",J36="Z",J36="versch.")</f>
        <v>1</v>
      </c>
      <c r="BK36" s="79"/>
      <c r="BL36" s="38"/>
    </row>
    <row r="37" spans="3:64" ht="15" customHeight="1">
      <c r="C37" s="360"/>
      <c r="D37" s="369"/>
      <c r="E37" s="362"/>
      <c r="F37" s="363"/>
      <c r="G37" s="364"/>
      <c r="H37" s="365"/>
      <c r="I37" s="366"/>
      <c r="J37" s="367"/>
      <c r="L37" s="53"/>
      <c r="M37" s="53"/>
      <c r="N37" s="53"/>
      <c r="O37" s="53"/>
      <c r="P37" s="53"/>
      <c r="Q37" s="49"/>
      <c r="R37" s="49"/>
      <c r="S37" s="49"/>
      <c r="T37" s="49"/>
      <c r="U37" s="29"/>
      <c r="V37" s="29"/>
      <c r="X37" s="47" t="s">
        <v>40</v>
      </c>
      <c r="Y37" s="68">
        <f>SUM(Y32:AJ32)</f>
        <v>33</v>
      </c>
      <c r="Z37" s="31" t="s">
        <v>81</v>
      </c>
      <c r="AA37" s="33"/>
      <c r="AB37" s="33"/>
      <c r="AC37" s="33"/>
      <c r="AD37" s="35"/>
      <c r="AE37" s="53"/>
      <c r="AF37" s="53"/>
      <c r="AG37" s="53"/>
      <c r="AH37" s="53"/>
      <c r="AI37" s="53"/>
      <c r="AJ37" s="53"/>
      <c r="AP37" s="38"/>
      <c r="AQ37" s="88"/>
      <c r="AR37" s="88">
        <f t="shared" si="13"/>
        <v>0</v>
      </c>
      <c r="AS37" s="82">
        <f t="shared" si="14"/>
        <v>0</v>
      </c>
      <c r="AT37" s="82"/>
      <c r="AU37" s="82">
        <f t="shared" si="15"/>
        <v>0</v>
      </c>
      <c r="AV37" s="82">
        <f t="shared" si="16"/>
        <v>0</v>
      </c>
      <c r="AW37" s="82"/>
      <c r="AX37" s="82">
        <f t="shared" si="17"/>
        <v>0</v>
      </c>
      <c r="AY37" s="82">
        <f t="shared" si="18"/>
        <v>0</v>
      </c>
      <c r="AZ37" s="82"/>
      <c r="BA37" s="82">
        <f t="shared" si="19"/>
        <v>0</v>
      </c>
      <c r="BB37" s="82">
        <f t="shared" si="20"/>
        <v>0</v>
      </c>
      <c r="BC37" s="82"/>
      <c r="BD37" s="82">
        <f t="shared" si="21"/>
        <v>0</v>
      </c>
      <c r="BE37" s="82">
        <f t="shared" si="22"/>
        <v>0</v>
      </c>
      <c r="BF37" s="82"/>
      <c r="BG37" s="82">
        <f t="shared" si="23"/>
        <v>0</v>
      </c>
      <c r="BH37" s="79">
        <f t="shared" si="24"/>
        <v>0</v>
      </c>
      <c r="BI37" s="82"/>
      <c r="BJ37" s="80"/>
      <c r="BK37" s="79"/>
      <c r="BL37" s="38"/>
    </row>
    <row r="38" spans="3:64" ht="15" customHeight="1">
      <c r="C38" s="360"/>
      <c r="D38" s="370">
        <f>IF(F40&gt;32,"Zur beladung sind "&amp;F40/4-8&amp;" Überstunden erforderlich!","")</f>
      </c>
      <c r="E38" s="355" t="s">
        <v>28</v>
      </c>
      <c r="F38" s="356"/>
      <c r="G38" s="357"/>
      <c r="H38" s="365"/>
      <c r="I38" s="355" t="s">
        <v>37</v>
      </c>
      <c r="J38" s="359" t="s">
        <v>27</v>
      </c>
      <c r="L38" s="284" t="s">
        <v>66</v>
      </c>
      <c r="M38" s="285"/>
      <c r="N38" s="285"/>
      <c r="O38" s="54"/>
      <c r="P38" s="57"/>
      <c r="Q38" s="49"/>
      <c r="R38" s="49"/>
      <c r="S38" s="49"/>
      <c r="T38" s="49"/>
      <c r="U38" s="29"/>
      <c r="V38" s="29"/>
      <c r="X38" s="48" t="s">
        <v>76</v>
      </c>
      <c r="Y38" s="78">
        <f>SUM(AC33:AJ33)</f>
        <v>0</v>
      </c>
      <c r="Z38" s="32">
        <f>IF(Y38&gt;0,"Wg/Wo","")</f>
      </c>
      <c r="AA38" s="4"/>
      <c r="AB38" s="4"/>
      <c r="AC38" s="4"/>
      <c r="AD38" s="19"/>
      <c r="AE38" s="53"/>
      <c r="AF38" s="53"/>
      <c r="AG38" s="53"/>
      <c r="AH38" s="53"/>
      <c r="AI38" s="53"/>
      <c r="AJ38" s="53"/>
      <c r="AP38" s="38"/>
      <c r="AQ38" s="88"/>
      <c r="AR38" s="88">
        <f t="shared" si="13"/>
        <v>0</v>
      </c>
      <c r="AS38" s="82">
        <f t="shared" si="14"/>
        <v>0</v>
      </c>
      <c r="AT38" s="82"/>
      <c r="AU38" s="82">
        <f t="shared" si="15"/>
        <v>0</v>
      </c>
      <c r="AV38" s="82">
        <f t="shared" si="16"/>
        <v>0</v>
      </c>
      <c r="AW38" s="82"/>
      <c r="AX38" s="82">
        <f t="shared" si="17"/>
        <v>0</v>
      </c>
      <c r="AY38" s="82">
        <f t="shared" si="18"/>
        <v>0</v>
      </c>
      <c r="AZ38" s="82"/>
      <c r="BA38" s="82">
        <f t="shared" si="19"/>
        <v>0</v>
      </c>
      <c r="BB38" s="82">
        <f t="shared" si="20"/>
        <v>0</v>
      </c>
      <c r="BC38" s="82"/>
      <c r="BD38" s="82">
        <f t="shared" si="21"/>
        <v>0</v>
      </c>
      <c r="BE38" s="82">
        <f t="shared" si="22"/>
        <v>0</v>
      </c>
      <c r="BF38" s="82"/>
      <c r="BG38" s="82">
        <f t="shared" si="23"/>
        <v>0</v>
      </c>
      <c r="BH38" s="79">
        <f t="shared" si="24"/>
        <v>0</v>
      </c>
      <c r="BI38" s="82"/>
      <c r="BJ38" s="80" t="b">
        <f>OR(J38="G",J38="S",J38="R",J38="O",J38="Z",J38="versch.")</f>
        <v>1</v>
      </c>
      <c r="BK38" s="79"/>
      <c r="BL38" s="38"/>
    </row>
    <row r="39" spans="3:64" ht="15" customHeight="1">
      <c r="C39" s="360"/>
      <c r="D39" s="371"/>
      <c r="E39" s="362"/>
      <c r="F39" s="363"/>
      <c r="G39" s="364"/>
      <c r="H39" s="365"/>
      <c r="I39" s="366"/>
      <c r="J39" s="367"/>
      <c r="L39" s="58"/>
      <c r="M39" s="59" t="s">
        <v>41</v>
      </c>
      <c r="N39" s="51" t="s">
        <v>40</v>
      </c>
      <c r="O39" s="60"/>
      <c r="P39" s="61"/>
      <c r="Q39" s="49"/>
      <c r="R39" s="49"/>
      <c r="S39" s="49"/>
      <c r="T39" s="49"/>
      <c r="U39" s="29"/>
      <c r="V39" s="29"/>
      <c r="AP39" s="38"/>
      <c r="AQ39" s="88"/>
      <c r="AR39" s="88">
        <f t="shared" si="13"/>
        <v>0</v>
      </c>
      <c r="AS39" s="82">
        <f t="shared" si="14"/>
        <v>0</v>
      </c>
      <c r="AT39" s="82"/>
      <c r="AU39" s="82">
        <f t="shared" si="15"/>
        <v>0</v>
      </c>
      <c r="AV39" s="82">
        <f t="shared" si="16"/>
        <v>0</v>
      </c>
      <c r="AW39" s="82"/>
      <c r="AX39" s="82">
        <f t="shared" si="17"/>
        <v>0</v>
      </c>
      <c r="AY39" s="82">
        <f t="shared" si="18"/>
        <v>0</v>
      </c>
      <c r="AZ39" s="82"/>
      <c r="BA39" s="82">
        <f t="shared" si="19"/>
        <v>0</v>
      </c>
      <c r="BB39" s="82">
        <f t="shared" si="20"/>
        <v>0</v>
      </c>
      <c r="BC39" s="82"/>
      <c r="BD39" s="82">
        <f t="shared" si="21"/>
        <v>0</v>
      </c>
      <c r="BE39" s="82">
        <f t="shared" si="22"/>
        <v>0</v>
      </c>
      <c r="BF39" s="82"/>
      <c r="BG39" s="82">
        <f t="shared" si="23"/>
        <v>0</v>
      </c>
      <c r="BH39" s="79">
        <f t="shared" si="24"/>
        <v>0</v>
      </c>
      <c r="BI39" s="82"/>
      <c r="BJ39" s="80"/>
      <c r="BK39" s="79"/>
      <c r="BL39" s="38"/>
    </row>
    <row r="40" spans="3:64" ht="15" customHeight="1">
      <c r="C40" s="360"/>
      <c r="D40" s="371"/>
      <c r="E40" s="355" t="s">
        <v>159</v>
      </c>
      <c r="F40" s="372"/>
      <c r="G40" s="356"/>
      <c r="H40" s="365"/>
      <c r="I40" s="355" t="s">
        <v>32</v>
      </c>
      <c r="J40" s="359" t="s">
        <v>18</v>
      </c>
      <c r="L40" s="36" t="s">
        <v>68</v>
      </c>
      <c r="M40" s="22">
        <f>Anschließer!AS66</f>
        <v>2.875</v>
      </c>
      <c r="N40" s="23">
        <f>ABS(Anschließer!AU66)</f>
        <v>1.25</v>
      </c>
      <c r="O40" s="62"/>
      <c r="P40" s="35"/>
      <c r="Q40" s="49"/>
      <c r="R40" s="49"/>
      <c r="S40" s="49"/>
      <c r="T40" s="49"/>
      <c r="U40" s="29"/>
      <c r="V40" s="29"/>
      <c r="AP40" s="38"/>
      <c r="AQ40" s="88"/>
      <c r="AR40" s="88">
        <f t="shared" si="13"/>
        <v>0</v>
      </c>
      <c r="AS40" s="82">
        <f t="shared" si="14"/>
        <v>0</v>
      </c>
      <c r="AT40" s="82"/>
      <c r="AU40" s="82">
        <f t="shared" si="15"/>
        <v>0</v>
      </c>
      <c r="AV40" s="82">
        <f t="shared" si="16"/>
        <v>0</v>
      </c>
      <c r="AW40" s="82"/>
      <c r="AX40" s="82">
        <f t="shared" si="17"/>
        <v>0</v>
      </c>
      <c r="AY40" s="82">
        <f t="shared" si="18"/>
        <v>0</v>
      </c>
      <c r="AZ40" s="82"/>
      <c r="BA40" s="82">
        <f t="shared" si="19"/>
        <v>0</v>
      </c>
      <c r="BB40" s="82">
        <f t="shared" si="20"/>
        <v>0</v>
      </c>
      <c r="BC40" s="82"/>
      <c r="BD40" s="82">
        <f t="shared" si="21"/>
        <v>0</v>
      </c>
      <c r="BE40" s="82">
        <f t="shared" si="22"/>
        <v>0</v>
      </c>
      <c r="BF40" s="82"/>
      <c r="BG40" s="82">
        <f t="shared" si="23"/>
        <v>0</v>
      </c>
      <c r="BH40" s="79">
        <f t="shared" si="24"/>
        <v>0</v>
      </c>
      <c r="BI40" s="82"/>
      <c r="BJ40" s="80" t="b">
        <f>OR(J40="G",J40="S",J40="R",J40="O",J40="Z",J40="versch.")</f>
        <v>1</v>
      </c>
      <c r="BK40" s="79"/>
      <c r="BL40" s="38"/>
    </row>
    <row r="41" spans="3:64" ht="23.25" customHeight="1">
      <c r="C41" s="373"/>
      <c r="D41" s="374"/>
      <c r="E41" s="366"/>
      <c r="F41" s="375" t="str">
        <f>ROUNDUP(F40/4,0)&amp;" x zustellen"</f>
        <v>0 x zustellen</v>
      </c>
      <c r="G41" s="363"/>
      <c r="H41" s="376"/>
      <c r="I41" s="366"/>
      <c r="J41" s="367"/>
      <c r="L41" s="36" t="s">
        <v>69</v>
      </c>
      <c r="M41" s="22">
        <f>SUM(L18,L25,L33,R18,R25,R33)</f>
        <v>4.875</v>
      </c>
      <c r="N41" s="23">
        <f>SUM(M18,M25,M33,S18,S25,S33)</f>
        <v>6.5</v>
      </c>
      <c r="O41" s="62"/>
      <c r="P41" s="35"/>
      <c r="Q41" s="49"/>
      <c r="R41" s="49"/>
      <c r="S41" s="49"/>
      <c r="T41" s="49"/>
      <c r="U41" s="29"/>
      <c r="V41" s="29"/>
      <c r="AP41" s="38"/>
      <c r="AQ41" s="88"/>
      <c r="AR41" s="88">
        <f t="shared" si="13"/>
        <v>0</v>
      </c>
      <c r="AS41" s="82">
        <f t="shared" si="14"/>
        <v>0</v>
      </c>
      <c r="AT41" s="82"/>
      <c r="AU41" s="82">
        <f t="shared" si="15"/>
        <v>0</v>
      </c>
      <c r="AV41" s="82">
        <f t="shared" si="16"/>
        <v>0</v>
      </c>
      <c r="AW41" s="82"/>
      <c r="AX41" s="82">
        <f t="shared" si="17"/>
        <v>0</v>
      </c>
      <c r="AY41" s="82">
        <f t="shared" si="18"/>
        <v>0</v>
      </c>
      <c r="AZ41" s="82"/>
      <c r="BA41" s="82">
        <f t="shared" si="19"/>
        <v>0</v>
      </c>
      <c r="BB41" s="82">
        <f t="shared" si="20"/>
        <v>0</v>
      </c>
      <c r="BC41" s="82"/>
      <c r="BD41" s="82">
        <f t="shared" si="21"/>
        <v>0</v>
      </c>
      <c r="BE41" s="82">
        <f t="shared" si="22"/>
        <v>0</v>
      </c>
      <c r="BF41" s="82"/>
      <c r="BG41" s="82">
        <f t="shared" si="23"/>
        <v>0</v>
      </c>
      <c r="BH41" s="79">
        <f t="shared" si="24"/>
        <v>0</v>
      </c>
      <c r="BI41" s="82"/>
      <c r="BJ41" s="80"/>
      <c r="BK41" s="79"/>
      <c r="BL41" s="38"/>
    </row>
    <row r="42" spans="3:64" ht="15" customHeight="1">
      <c r="C42" s="215" t="s">
        <v>154</v>
      </c>
      <c r="D42" s="271"/>
      <c r="E42" s="272"/>
      <c r="F42" s="349">
        <f>SUM(F19:F41)</f>
        <v>6.5</v>
      </c>
      <c r="G42" s="349">
        <f>SUM(G19:G41)</f>
        <v>5</v>
      </c>
      <c r="H42" s="350">
        <f>SUM(H19:H41)</f>
        <v>8</v>
      </c>
      <c r="I42" s="351" t="str">
        <f>"Ges. "&amp;SUM(Y23:Y26)&amp;" an- u. abgehende Wg./Tag"</f>
        <v>Ges. 15 an- u. abgehende Wg./Tag</v>
      </c>
      <c r="J42" s="352"/>
      <c r="L42" s="63" t="s">
        <v>67</v>
      </c>
      <c r="M42" s="64">
        <f>SUM(M40:M41)</f>
        <v>7.75</v>
      </c>
      <c r="N42" s="65">
        <f>SUM(N40:N41)</f>
        <v>7.75</v>
      </c>
      <c r="O42" s="66"/>
      <c r="P42" s="19"/>
      <c r="Q42" s="49"/>
      <c r="R42" s="49"/>
      <c r="S42" s="49"/>
      <c r="T42" s="49"/>
      <c r="U42" s="29"/>
      <c r="V42" s="29"/>
      <c r="AP42" s="38"/>
      <c r="AQ42" s="88"/>
      <c r="AR42" s="88">
        <f t="shared" si="13"/>
        <v>0</v>
      </c>
      <c r="AS42" s="82">
        <f t="shared" si="14"/>
        <v>0</v>
      </c>
      <c r="AT42" s="82"/>
      <c r="AU42" s="82">
        <f t="shared" si="15"/>
        <v>0</v>
      </c>
      <c r="AV42" s="82">
        <f t="shared" si="16"/>
        <v>0</v>
      </c>
      <c r="AW42" s="82"/>
      <c r="AX42" s="82">
        <f t="shared" si="17"/>
        <v>0</v>
      </c>
      <c r="AY42" s="82">
        <f t="shared" si="18"/>
        <v>0</v>
      </c>
      <c r="AZ42" s="82"/>
      <c r="BA42" s="82">
        <f t="shared" si="19"/>
        <v>0</v>
      </c>
      <c r="BB42" s="82">
        <f t="shared" si="20"/>
        <v>0</v>
      </c>
      <c r="BC42" s="82"/>
      <c r="BD42" s="82">
        <f t="shared" si="21"/>
        <v>0</v>
      </c>
      <c r="BE42" s="82">
        <f t="shared" si="22"/>
        <v>0</v>
      </c>
      <c r="BF42" s="82"/>
      <c r="BG42" s="82">
        <f t="shared" si="23"/>
        <v>0</v>
      </c>
      <c r="BH42" s="79">
        <f t="shared" si="24"/>
        <v>0</v>
      </c>
      <c r="BI42" s="82"/>
      <c r="BJ42" s="80" t="b">
        <f>OR(J44="G",J44="S",J44="R",J44="O",J44="Z",J44="versch.")</f>
        <v>0</v>
      </c>
      <c r="BK42" s="79"/>
      <c r="BL42" s="38"/>
    </row>
    <row r="43" spans="12:64" ht="15" customHeight="1">
      <c r="L43" s="36" t="s">
        <v>72</v>
      </c>
      <c r="M43" s="62"/>
      <c r="N43" s="62"/>
      <c r="O43" s="67">
        <f>SUM(M42,N42)</f>
        <v>15.5</v>
      </c>
      <c r="P43" s="27"/>
      <c r="Q43" s="49"/>
      <c r="R43" s="49"/>
      <c r="S43" s="49"/>
      <c r="T43" s="49"/>
      <c r="U43" s="29"/>
      <c r="V43" s="29"/>
      <c r="AP43" s="38"/>
      <c r="AQ43" s="88"/>
      <c r="AR43" s="88">
        <f t="shared" si="13"/>
        <v>0</v>
      </c>
      <c r="AS43" s="82">
        <f t="shared" si="14"/>
        <v>0</v>
      </c>
      <c r="AT43" s="82"/>
      <c r="AU43" s="82">
        <f t="shared" si="15"/>
        <v>0</v>
      </c>
      <c r="AV43" s="82">
        <f t="shared" si="16"/>
        <v>0</v>
      </c>
      <c r="AW43" s="82"/>
      <c r="AX43" s="82">
        <f t="shared" si="17"/>
        <v>0</v>
      </c>
      <c r="AY43" s="82">
        <f t="shared" si="18"/>
        <v>0</v>
      </c>
      <c r="AZ43" s="82"/>
      <c r="BA43" s="82">
        <f t="shared" si="19"/>
        <v>0</v>
      </c>
      <c r="BB43" s="82">
        <f t="shared" si="20"/>
        <v>0</v>
      </c>
      <c r="BC43" s="82"/>
      <c r="BD43" s="82">
        <f t="shared" si="21"/>
        <v>0</v>
      </c>
      <c r="BE43" s="82">
        <f t="shared" si="22"/>
        <v>0</v>
      </c>
      <c r="BF43" s="82"/>
      <c r="BG43" s="82">
        <f t="shared" si="23"/>
        <v>0</v>
      </c>
      <c r="BH43" s="79">
        <f t="shared" si="24"/>
        <v>0</v>
      </c>
      <c r="BI43" s="82"/>
      <c r="BJ43" s="80"/>
      <c r="BK43" s="79"/>
      <c r="BL43" s="38"/>
    </row>
    <row r="44" spans="3:64" ht="15" customHeight="1">
      <c r="C44" s="199"/>
      <c r="D44" s="200"/>
      <c r="E44" s="201"/>
      <c r="F44" s="196"/>
      <c r="G44" s="205"/>
      <c r="H44" s="205"/>
      <c r="I44" s="201"/>
      <c r="J44" s="203"/>
      <c r="L44" s="36" t="s">
        <v>73</v>
      </c>
      <c r="M44" s="33"/>
      <c r="N44" s="33"/>
      <c r="O44" s="62">
        <f>2*I51</f>
        <v>0</v>
      </c>
      <c r="P44" s="27"/>
      <c r="Q44" s="49"/>
      <c r="R44" s="49"/>
      <c r="S44" s="49"/>
      <c r="T44" s="49"/>
      <c r="U44" s="29"/>
      <c r="V44" s="29"/>
      <c r="AP44" s="38"/>
      <c r="AQ44" s="88"/>
      <c r="AR44" s="88">
        <f aca="true" t="shared" si="25" ref="AR44:AR49">IF(J44="G",(G44*1),0)</f>
        <v>0</v>
      </c>
      <c r="AS44" s="82">
        <f aca="true" t="shared" si="26" ref="AS44:AS49">IF(J44="G",(F44*1),0)</f>
        <v>0</v>
      </c>
      <c r="AT44" s="82"/>
      <c r="AU44" s="82">
        <f aca="true" t="shared" si="27" ref="AU44:AU49">IF(J44="S",(G44*1),0)</f>
        <v>0</v>
      </c>
      <c r="AV44" s="82">
        <f aca="true" t="shared" si="28" ref="AV44:AV49">IF(J44="S",(F44*1),0)</f>
        <v>0</v>
      </c>
      <c r="AW44" s="82"/>
      <c r="AX44" s="82">
        <f aca="true" t="shared" si="29" ref="AX44:AX49">IF(J44="R",(G44*1),0)</f>
        <v>0</v>
      </c>
      <c r="AY44" s="82">
        <f aca="true" t="shared" si="30" ref="AY44:AY49">IF(J44="R",(F44*1),0)</f>
        <v>0</v>
      </c>
      <c r="AZ44" s="82"/>
      <c r="BA44" s="82">
        <f aca="true" t="shared" si="31" ref="BA44:BA49">IF(J44="O",(G44*1),0)</f>
        <v>0</v>
      </c>
      <c r="BB44" s="82">
        <f aca="true" t="shared" si="32" ref="BB44:BB49">IF(J44="O",(F44*1),0)</f>
        <v>0</v>
      </c>
      <c r="BC44" s="82"/>
      <c r="BD44" s="82">
        <f aca="true" t="shared" si="33" ref="BD44:BD49">IF(J44="Z",(G44*1),0)</f>
        <v>0</v>
      </c>
      <c r="BE44" s="82">
        <f aca="true" t="shared" si="34" ref="BE44:BE49">IF(J44="Z",(F44*1),0)</f>
        <v>0</v>
      </c>
      <c r="BF44" s="82"/>
      <c r="BG44" s="82">
        <f aca="true" t="shared" si="35" ref="BG44:BG49">IF(J44="versch.",(G44*1),0)</f>
        <v>0</v>
      </c>
      <c r="BH44" s="79">
        <f aca="true" t="shared" si="36" ref="BH44:BH49">IF(J44="versch.",(F44*1),0)</f>
        <v>0</v>
      </c>
      <c r="BI44" s="82"/>
      <c r="BJ44" s="80" t="b">
        <f>OR(J46="G",J46="S",J46="R",J46="O",J46="Z",J46="versch.")</f>
        <v>0</v>
      </c>
      <c r="BK44" s="79"/>
      <c r="BL44" s="38"/>
    </row>
    <row r="45" spans="3:64" ht="15" customHeight="1">
      <c r="C45" s="199"/>
      <c r="D45" s="200"/>
      <c r="E45" s="201"/>
      <c r="F45" s="196"/>
      <c r="G45" s="205"/>
      <c r="H45" s="205"/>
      <c r="I45" s="206"/>
      <c r="J45" s="203"/>
      <c r="L45" s="63" t="s">
        <v>89</v>
      </c>
      <c r="M45" s="4"/>
      <c r="N45" s="107">
        <f>O45/O43</f>
        <v>-1</v>
      </c>
      <c r="O45" s="66">
        <f>O44-O43</f>
        <v>-15.5</v>
      </c>
      <c r="P45" s="28"/>
      <c r="Q45" s="49"/>
      <c r="R45" s="49"/>
      <c r="S45" s="49"/>
      <c r="T45" s="49"/>
      <c r="U45" s="29"/>
      <c r="V45" s="29"/>
      <c r="AP45" s="38"/>
      <c r="AQ45" s="88"/>
      <c r="AR45" s="88">
        <f t="shared" si="25"/>
        <v>0</v>
      </c>
      <c r="AS45" s="82">
        <f t="shared" si="26"/>
        <v>0</v>
      </c>
      <c r="AT45" s="82"/>
      <c r="AU45" s="82">
        <f t="shared" si="27"/>
        <v>0</v>
      </c>
      <c r="AV45" s="82">
        <f t="shared" si="28"/>
        <v>0</v>
      </c>
      <c r="AW45" s="82"/>
      <c r="AX45" s="82">
        <f t="shared" si="29"/>
        <v>0</v>
      </c>
      <c r="AY45" s="82">
        <f t="shared" si="30"/>
        <v>0</v>
      </c>
      <c r="AZ45" s="82"/>
      <c r="BA45" s="82">
        <f t="shared" si="31"/>
        <v>0</v>
      </c>
      <c r="BB45" s="82">
        <f t="shared" si="32"/>
        <v>0</v>
      </c>
      <c r="BC45" s="82"/>
      <c r="BD45" s="82">
        <f t="shared" si="33"/>
        <v>0</v>
      </c>
      <c r="BE45" s="82">
        <f t="shared" si="34"/>
        <v>0</v>
      </c>
      <c r="BF45" s="82"/>
      <c r="BG45" s="82">
        <f t="shared" si="35"/>
        <v>0</v>
      </c>
      <c r="BH45" s="79">
        <f t="shared" si="36"/>
        <v>0</v>
      </c>
      <c r="BI45" s="82"/>
      <c r="BJ45" s="80"/>
      <c r="BK45" s="79"/>
      <c r="BL45" s="38"/>
    </row>
    <row r="46" spans="3:64" ht="15" customHeight="1">
      <c r="C46" s="207"/>
      <c r="D46" s="208"/>
      <c r="E46" s="209"/>
      <c r="F46" s="196"/>
      <c r="G46" s="196"/>
      <c r="H46" s="196"/>
      <c r="I46" s="200"/>
      <c r="J46" s="197"/>
      <c r="AP46" s="38"/>
      <c r="AQ46" s="88"/>
      <c r="AR46" s="88">
        <f t="shared" si="25"/>
        <v>0</v>
      </c>
      <c r="AS46" s="82">
        <f t="shared" si="26"/>
        <v>0</v>
      </c>
      <c r="AT46" s="82"/>
      <c r="AU46" s="82">
        <f t="shared" si="27"/>
        <v>0</v>
      </c>
      <c r="AV46" s="82">
        <f t="shared" si="28"/>
        <v>0</v>
      </c>
      <c r="AW46" s="82"/>
      <c r="AX46" s="82">
        <f t="shared" si="29"/>
        <v>0</v>
      </c>
      <c r="AY46" s="82">
        <f t="shared" si="30"/>
        <v>0</v>
      </c>
      <c r="AZ46" s="82"/>
      <c r="BA46" s="82">
        <f t="shared" si="31"/>
        <v>0</v>
      </c>
      <c r="BB46" s="82">
        <f t="shared" si="32"/>
        <v>0</v>
      </c>
      <c r="BC46" s="82"/>
      <c r="BD46" s="82">
        <f t="shared" si="33"/>
        <v>0</v>
      </c>
      <c r="BE46" s="82">
        <f t="shared" si="34"/>
        <v>0</v>
      </c>
      <c r="BF46" s="82"/>
      <c r="BG46" s="82">
        <f t="shared" si="35"/>
        <v>0</v>
      </c>
      <c r="BH46" s="79">
        <f t="shared" si="36"/>
        <v>0</v>
      </c>
      <c r="BI46" s="82"/>
      <c r="BJ46" s="80" t="b">
        <f>OR(J48="G",J48="S",J48="R",J48="O",J48="Z",J48="versch.")</f>
        <v>0</v>
      </c>
      <c r="BK46" s="79"/>
      <c r="BL46" s="38"/>
    </row>
    <row r="47" spans="3:64" ht="15" customHeight="1">
      <c r="C47" s="207"/>
      <c r="D47" s="208"/>
      <c r="E47" s="191"/>
      <c r="F47" s="196"/>
      <c r="G47" s="196"/>
      <c r="H47" s="196"/>
      <c r="I47" s="198"/>
      <c r="J47" s="197"/>
      <c r="AP47" s="38"/>
      <c r="AQ47" s="88"/>
      <c r="AR47" s="88">
        <f t="shared" si="25"/>
        <v>0</v>
      </c>
      <c r="AS47" s="82">
        <f t="shared" si="26"/>
        <v>0</v>
      </c>
      <c r="AT47" s="82"/>
      <c r="AU47" s="82">
        <f t="shared" si="27"/>
        <v>0</v>
      </c>
      <c r="AV47" s="82">
        <f t="shared" si="28"/>
        <v>0</v>
      </c>
      <c r="AW47" s="82"/>
      <c r="AX47" s="82">
        <f t="shared" si="29"/>
        <v>0</v>
      </c>
      <c r="AY47" s="82">
        <f t="shared" si="30"/>
        <v>0</v>
      </c>
      <c r="AZ47" s="82"/>
      <c r="BA47" s="82">
        <f t="shared" si="31"/>
        <v>0</v>
      </c>
      <c r="BB47" s="82">
        <f t="shared" si="32"/>
        <v>0</v>
      </c>
      <c r="BC47" s="82"/>
      <c r="BD47" s="82">
        <f t="shared" si="33"/>
        <v>0</v>
      </c>
      <c r="BE47" s="82">
        <f t="shared" si="34"/>
        <v>0</v>
      </c>
      <c r="BF47" s="82"/>
      <c r="BG47" s="82">
        <f t="shared" si="35"/>
        <v>0</v>
      </c>
      <c r="BH47" s="79">
        <f t="shared" si="36"/>
        <v>0</v>
      </c>
      <c r="BI47" s="82"/>
      <c r="BJ47" s="80" t="b">
        <f>OR(J49="G",J49="S",J49="R",J49="O",J49="Z",J49="versch.")</f>
        <v>0</v>
      </c>
      <c r="BK47" s="79"/>
      <c r="BL47" s="38"/>
    </row>
    <row r="48" spans="3:64" ht="15" customHeight="1">
      <c r="C48" s="207"/>
      <c r="D48" s="208"/>
      <c r="E48" s="191"/>
      <c r="F48" s="196"/>
      <c r="G48" s="196"/>
      <c r="H48" s="196"/>
      <c r="I48" s="198"/>
      <c r="J48" s="197"/>
      <c r="AP48" s="38"/>
      <c r="AQ48" s="88"/>
      <c r="AR48" s="88">
        <f t="shared" si="25"/>
        <v>0</v>
      </c>
      <c r="AS48" s="82">
        <f t="shared" si="26"/>
        <v>0</v>
      </c>
      <c r="AT48" s="82"/>
      <c r="AU48" s="82">
        <f t="shared" si="27"/>
        <v>0</v>
      </c>
      <c r="AV48" s="82">
        <f t="shared" si="28"/>
        <v>0</v>
      </c>
      <c r="AW48" s="82"/>
      <c r="AX48" s="82">
        <f t="shared" si="29"/>
        <v>0</v>
      </c>
      <c r="AY48" s="82">
        <f t="shared" si="30"/>
        <v>0</v>
      </c>
      <c r="AZ48" s="82"/>
      <c r="BA48" s="82">
        <f t="shared" si="31"/>
        <v>0</v>
      </c>
      <c r="BB48" s="82">
        <f t="shared" si="32"/>
        <v>0</v>
      </c>
      <c r="BC48" s="82"/>
      <c r="BD48" s="82">
        <f t="shared" si="33"/>
        <v>0</v>
      </c>
      <c r="BE48" s="82">
        <f t="shared" si="34"/>
        <v>0</v>
      </c>
      <c r="BF48" s="82"/>
      <c r="BG48" s="82">
        <f t="shared" si="35"/>
        <v>0</v>
      </c>
      <c r="BH48" s="79">
        <f t="shared" si="36"/>
        <v>0</v>
      </c>
      <c r="BI48" s="82"/>
      <c r="BJ48" s="80" t="b">
        <f>OR(J50="G",J50="S",J50="R",J50="O",J50="Z",J50="versch.")</f>
        <v>0</v>
      </c>
      <c r="BK48" s="79"/>
      <c r="BL48" s="38"/>
    </row>
    <row r="49" spans="3:64" ht="15" customHeight="1">
      <c r="C49" s="207"/>
      <c r="D49" s="208"/>
      <c r="E49" s="191"/>
      <c r="F49" s="196"/>
      <c r="G49" s="196"/>
      <c r="H49" s="196"/>
      <c r="I49" s="198"/>
      <c r="J49" s="197"/>
      <c r="M49" s="20"/>
      <c r="N49" s="20"/>
      <c r="O49" s="20"/>
      <c r="AP49" s="38"/>
      <c r="AQ49" s="88"/>
      <c r="AR49" s="90">
        <f t="shared" si="25"/>
        <v>0</v>
      </c>
      <c r="AS49" s="91">
        <f t="shared" si="26"/>
        <v>0</v>
      </c>
      <c r="AT49" s="91"/>
      <c r="AU49" s="91">
        <f t="shared" si="27"/>
        <v>0</v>
      </c>
      <c r="AV49" s="91">
        <f t="shared" si="28"/>
        <v>0</v>
      </c>
      <c r="AW49" s="91"/>
      <c r="AX49" s="91">
        <f t="shared" si="29"/>
        <v>0</v>
      </c>
      <c r="AY49" s="91">
        <f t="shared" si="30"/>
        <v>0</v>
      </c>
      <c r="AZ49" s="91"/>
      <c r="BA49" s="91">
        <f t="shared" si="31"/>
        <v>0</v>
      </c>
      <c r="BB49" s="91">
        <f t="shared" si="32"/>
        <v>0</v>
      </c>
      <c r="BC49" s="91"/>
      <c r="BD49" s="91">
        <f t="shared" si="33"/>
        <v>0</v>
      </c>
      <c r="BE49" s="91">
        <f t="shared" si="34"/>
        <v>0</v>
      </c>
      <c r="BF49" s="91"/>
      <c r="BG49" s="91">
        <f t="shared" si="35"/>
        <v>0</v>
      </c>
      <c r="BH49" s="92">
        <f t="shared" si="36"/>
        <v>0</v>
      </c>
      <c r="BI49" s="82"/>
      <c r="BJ49" s="81"/>
      <c r="BK49" s="79"/>
      <c r="BL49" s="38"/>
    </row>
    <row r="50" spans="3:64" ht="15" customHeight="1">
      <c r="C50" s="199"/>
      <c r="D50" s="200"/>
      <c r="E50" s="201"/>
      <c r="F50" s="202"/>
      <c r="G50" s="202"/>
      <c r="H50" s="202"/>
      <c r="I50" s="201"/>
      <c r="J50" s="203"/>
      <c r="M50" s="20"/>
      <c r="N50" s="20"/>
      <c r="O50" s="20"/>
      <c r="AP50" s="38"/>
      <c r="AQ50" s="88"/>
      <c r="AR50" s="82"/>
      <c r="AS50" s="82"/>
      <c r="AT50" s="82"/>
      <c r="AU50" s="82"/>
      <c r="AV50" s="82"/>
      <c r="AW50" s="82"/>
      <c r="AX50" s="82"/>
      <c r="AY50" s="82"/>
      <c r="AZ50" s="82"/>
      <c r="BA50" s="82"/>
      <c r="BB50" s="82"/>
      <c r="BC50" s="82"/>
      <c r="BD50" s="82"/>
      <c r="BE50" s="82"/>
      <c r="BF50" s="82"/>
      <c r="BG50" s="82"/>
      <c r="BH50" s="82"/>
      <c r="BI50" s="82"/>
      <c r="BJ50" s="82"/>
      <c r="BK50" s="79"/>
      <c r="BL50" s="38"/>
    </row>
    <row r="51" spans="3:64" ht="15" customHeight="1">
      <c r="C51" s="210"/>
      <c r="D51" s="210"/>
      <c r="E51" s="210"/>
      <c r="F51" s="204"/>
      <c r="G51" s="204"/>
      <c r="H51" s="204"/>
      <c r="I51" s="211"/>
      <c r="J51" s="211"/>
      <c r="M51" s="20"/>
      <c r="N51" s="20"/>
      <c r="O51" s="20"/>
      <c r="AP51" s="38"/>
      <c r="AQ51" s="88"/>
      <c r="AR51" s="82"/>
      <c r="AS51" s="82"/>
      <c r="AT51" s="82"/>
      <c r="AU51" s="82"/>
      <c r="AV51" s="82"/>
      <c r="AW51" s="82"/>
      <c r="AX51" s="82"/>
      <c r="AY51" s="82"/>
      <c r="AZ51" s="82"/>
      <c r="BA51" s="82"/>
      <c r="BB51" s="82"/>
      <c r="BC51" s="82"/>
      <c r="BD51" s="82"/>
      <c r="BE51" s="82"/>
      <c r="BF51" s="82"/>
      <c r="BG51" s="82"/>
      <c r="BH51" s="82"/>
      <c r="BI51" s="82"/>
      <c r="BJ51" s="82"/>
      <c r="BK51" s="79"/>
      <c r="BL51" s="38"/>
    </row>
    <row r="52" spans="3:64" ht="9.75" customHeight="1">
      <c r="C52" s="122"/>
      <c r="D52" s="122"/>
      <c r="E52" s="124"/>
      <c r="F52" s="124"/>
      <c r="G52" s="124"/>
      <c r="I52" s="124"/>
      <c r="J52" s="124"/>
      <c r="AP52" s="38"/>
      <c r="AQ52" s="88"/>
      <c r="AR52" s="82"/>
      <c r="AS52" s="82"/>
      <c r="AT52" s="82"/>
      <c r="AU52" s="82"/>
      <c r="AV52" s="82"/>
      <c r="AW52" s="82"/>
      <c r="AX52" s="82"/>
      <c r="AY52" s="82"/>
      <c r="AZ52" s="82"/>
      <c r="BA52" s="82"/>
      <c r="BB52" s="82"/>
      <c r="BC52" s="82"/>
      <c r="BD52" s="82"/>
      <c r="BE52" s="82"/>
      <c r="BJ52" s="82"/>
      <c r="BK52" s="79"/>
      <c r="BL52" s="38"/>
    </row>
    <row r="53" spans="3:64" ht="18" customHeight="1">
      <c r="C53" s="122"/>
      <c r="D53" s="122"/>
      <c r="AP53" s="38"/>
      <c r="AQ53" s="88"/>
      <c r="AR53" s="83" t="s">
        <v>82</v>
      </c>
      <c r="AS53" s="84"/>
      <c r="AT53" s="84"/>
      <c r="AU53" s="84"/>
      <c r="AV53" s="84"/>
      <c r="AW53" s="84"/>
      <c r="AX53" s="84"/>
      <c r="AY53" s="84"/>
      <c r="AZ53" s="84"/>
      <c r="BA53" s="84"/>
      <c r="BB53" s="84"/>
      <c r="BC53" s="84"/>
      <c r="BD53" s="85"/>
      <c r="BE53" s="82"/>
      <c r="BJ53" s="82"/>
      <c r="BK53" s="79"/>
      <c r="BL53" s="38"/>
    </row>
    <row r="54" spans="3:64" ht="12.75" customHeight="1">
      <c r="C54" s="122"/>
      <c r="D54" s="122"/>
      <c r="AP54" s="38"/>
      <c r="AQ54" s="88"/>
      <c r="AR54" s="93">
        <f>Y20-Y18</f>
        <v>-1</v>
      </c>
      <c r="AS54" s="94"/>
      <c r="AT54" s="95">
        <f>AA20-AA18</f>
        <v>1</v>
      </c>
      <c r="AU54" s="96"/>
      <c r="AV54" s="95">
        <f>AC20-AC18</f>
        <v>0</v>
      </c>
      <c r="AW54" s="97"/>
      <c r="AX54" s="95">
        <f>AE20-AE18</f>
        <v>1</v>
      </c>
      <c r="AY54" s="97"/>
      <c r="AZ54" s="95">
        <f>AG20-AG18</f>
        <v>0</v>
      </c>
      <c r="BA54" s="97"/>
      <c r="BB54" s="95">
        <f>AI20-AI18</f>
        <v>1</v>
      </c>
      <c r="BC54" s="97"/>
      <c r="BD54" s="98">
        <f>SUM(Y23:Y26)</f>
        <v>15</v>
      </c>
      <c r="BE54" s="82"/>
      <c r="BJ54" s="82"/>
      <c r="BK54" s="79"/>
      <c r="BL54" s="38"/>
    </row>
    <row r="55" spans="3:64" ht="12.75" customHeight="1">
      <c r="C55" s="122"/>
      <c r="D55" s="123"/>
      <c r="AP55" s="38"/>
      <c r="AQ55" s="88"/>
      <c r="AR55" s="82"/>
      <c r="AS55" s="82"/>
      <c r="AT55" s="82"/>
      <c r="AU55" s="82"/>
      <c r="AV55" s="82"/>
      <c r="AW55" s="82"/>
      <c r="AX55" s="82"/>
      <c r="AY55" s="82"/>
      <c r="AZ55" s="82"/>
      <c r="BA55" s="82"/>
      <c r="BB55" s="82"/>
      <c r="BC55" s="82"/>
      <c r="BD55" s="82"/>
      <c r="BE55" s="82"/>
      <c r="BJ55" s="82"/>
      <c r="BK55" s="79"/>
      <c r="BL55" s="38"/>
    </row>
    <row r="56" spans="3:64" ht="12.75" customHeight="1">
      <c r="C56" s="122"/>
      <c r="D56" s="123"/>
      <c r="AP56" s="38"/>
      <c r="AQ56" s="88"/>
      <c r="AR56" s="82"/>
      <c r="AS56" s="82"/>
      <c r="AT56" s="82"/>
      <c r="AU56" s="82"/>
      <c r="AV56" s="82"/>
      <c r="AW56" s="82"/>
      <c r="AX56" s="82"/>
      <c r="AY56" s="82"/>
      <c r="AZ56" s="82"/>
      <c r="BA56" s="82"/>
      <c r="BB56" s="82"/>
      <c r="BC56" s="82"/>
      <c r="BD56" s="82"/>
      <c r="BE56" s="82"/>
      <c r="BF56" s="82"/>
      <c r="BG56" s="82"/>
      <c r="BH56" s="82"/>
      <c r="BI56" s="82"/>
      <c r="BJ56" s="82"/>
      <c r="BK56" s="79"/>
      <c r="BL56" s="38"/>
    </row>
    <row r="57" spans="3:64" ht="12.75" customHeight="1">
      <c r="C57" s="122"/>
      <c r="D57" s="123"/>
      <c r="AP57" s="38"/>
      <c r="AQ57" s="88"/>
      <c r="AR57" s="82"/>
      <c r="AS57" s="83" t="s">
        <v>82</v>
      </c>
      <c r="AT57" s="84"/>
      <c r="AU57" s="84"/>
      <c r="AV57" s="85"/>
      <c r="AW57" s="83" t="s">
        <v>85</v>
      </c>
      <c r="AX57" s="84"/>
      <c r="AY57" s="85"/>
      <c r="AZ57" s="82"/>
      <c r="BA57" s="82"/>
      <c r="BB57" s="82"/>
      <c r="BC57" s="82"/>
      <c r="BD57" s="82"/>
      <c r="BE57" s="82"/>
      <c r="BF57" s="82"/>
      <c r="BG57" s="82"/>
      <c r="BH57" s="82"/>
      <c r="BI57" s="82"/>
      <c r="BJ57" s="82"/>
      <c r="BK57" s="79"/>
      <c r="BL57" s="38"/>
    </row>
    <row r="58" spans="3:64" ht="12.75" customHeight="1">
      <c r="C58" s="122"/>
      <c r="D58" s="123"/>
      <c r="AP58" s="38"/>
      <c r="AQ58" s="88"/>
      <c r="AR58" s="82"/>
      <c r="AS58" s="88" t="s">
        <v>60</v>
      </c>
      <c r="AT58" s="82"/>
      <c r="AU58" s="82" t="s">
        <v>60</v>
      </c>
      <c r="AV58" s="79"/>
      <c r="AW58" s="88">
        <f ca="1">TRUNC(RAND()*(M19*5))</f>
        <v>16</v>
      </c>
      <c r="AX58" s="82" t="s">
        <v>38</v>
      </c>
      <c r="AY58" s="79"/>
      <c r="AZ58" s="82"/>
      <c r="BA58" s="82"/>
      <c r="BB58" s="82"/>
      <c r="BC58" s="82"/>
      <c r="BD58" s="82"/>
      <c r="BE58" s="82"/>
      <c r="BF58" s="82"/>
      <c r="BG58" s="82"/>
      <c r="BH58" s="82"/>
      <c r="BI58" s="82"/>
      <c r="BJ58" s="82"/>
      <c r="BK58" s="79"/>
      <c r="BL58" s="38"/>
    </row>
    <row r="59" spans="3:64" ht="12.75" customHeight="1">
      <c r="C59" s="122"/>
      <c r="D59" s="123"/>
      <c r="AP59" s="38"/>
      <c r="AQ59" s="88"/>
      <c r="AR59" s="82"/>
      <c r="AS59" s="88"/>
      <c r="AT59" s="82"/>
      <c r="AU59" s="82"/>
      <c r="AV59" s="79"/>
      <c r="AW59" s="88"/>
      <c r="AX59" s="82"/>
      <c r="AY59" s="79"/>
      <c r="AZ59" s="82"/>
      <c r="BA59" s="82"/>
      <c r="BB59" s="82"/>
      <c r="BC59" s="82"/>
      <c r="BD59" s="82"/>
      <c r="BE59" s="82"/>
      <c r="BF59" s="82"/>
      <c r="BG59" s="82"/>
      <c r="BH59" s="82"/>
      <c r="BI59" s="82"/>
      <c r="BJ59" s="82"/>
      <c r="BK59" s="79"/>
      <c r="BL59" s="38"/>
    </row>
    <row r="60" spans="3:64" ht="18.75" customHeight="1">
      <c r="C60" s="122"/>
      <c r="D60" s="123"/>
      <c r="AP60" s="38"/>
      <c r="AQ60" s="88"/>
      <c r="AR60" s="82"/>
      <c r="AS60" s="88">
        <f>IF(Anschließer!M21&gt;0,Anschließer!M21,0)</f>
        <v>0</v>
      </c>
      <c r="AT60" s="82" t="s">
        <v>38</v>
      </c>
      <c r="AU60" s="82">
        <f>IF(Anschließer!M21&lt;0,Anschließer!M21,0)</f>
        <v>-1.25</v>
      </c>
      <c r="AV60" s="79"/>
      <c r="AW60" s="88">
        <f ca="1">TRUNC(RAND()*(M26*5))</f>
        <v>1</v>
      </c>
      <c r="AX60" s="82" t="s">
        <v>61</v>
      </c>
      <c r="AY60" s="79"/>
      <c r="AZ60" s="82"/>
      <c r="BA60" s="82"/>
      <c r="BB60" s="82"/>
      <c r="BC60" s="82"/>
      <c r="BD60" s="82"/>
      <c r="BE60" s="82"/>
      <c r="BF60" s="82"/>
      <c r="BG60" s="82"/>
      <c r="BH60" s="82"/>
      <c r="BI60" s="82"/>
      <c r="BJ60" s="82"/>
      <c r="BK60" s="79"/>
      <c r="BL60" s="38"/>
    </row>
    <row r="61" spans="4:64" ht="12.75" customHeight="1">
      <c r="D61" s="25"/>
      <c r="G61" s="25"/>
      <c r="H61" s="20"/>
      <c r="AP61" s="38"/>
      <c r="AQ61" s="88"/>
      <c r="AR61" s="82"/>
      <c r="AS61" s="88">
        <f>IF(Anschließer!M28&gt;0,Anschließer!M28,0)</f>
        <v>1</v>
      </c>
      <c r="AT61" s="82" t="s">
        <v>61</v>
      </c>
      <c r="AU61" s="82">
        <f>IF(Anschließer!M28&lt;0,Anschließer!M28,0)</f>
        <v>0</v>
      </c>
      <c r="AV61" s="79"/>
      <c r="AW61" s="88">
        <f ca="1">TRUNC(RAND()*(M34*5))</f>
        <v>1</v>
      </c>
      <c r="AX61" s="82" t="s">
        <v>62</v>
      </c>
      <c r="AY61" s="79"/>
      <c r="AZ61" s="82"/>
      <c r="BA61" s="82"/>
      <c r="BB61" s="82"/>
      <c r="BC61" s="82"/>
      <c r="BD61" s="82"/>
      <c r="BE61" s="82"/>
      <c r="BF61" s="82"/>
      <c r="BG61" s="82"/>
      <c r="BH61" s="82"/>
      <c r="BI61" s="82"/>
      <c r="BJ61" s="82"/>
      <c r="BK61" s="79"/>
      <c r="BL61" s="38"/>
    </row>
    <row r="62" spans="4:64" ht="12.75" customHeight="1">
      <c r="D62" s="25"/>
      <c r="AP62" s="38"/>
      <c r="AQ62" s="88"/>
      <c r="AR62" s="82"/>
      <c r="AS62" s="88">
        <f>IF(Anschließer!M36&gt;0,Anschließer!M36,0)</f>
        <v>0.125</v>
      </c>
      <c r="AT62" s="82" t="s">
        <v>62</v>
      </c>
      <c r="AU62" s="82">
        <f>IF(Anschließer!M36&lt;0,Anschließer!M36,0)</f>
        <v>0</v>
      </c>
      <c r="AV62" s="79"/>
      <c r="AW62" s="88">
        <f ca="1">TRUNC(RAND()*(S19*5))</f>
        <v>0</v>
      </c>
      <c r="AX62" s="82" t="s">
        <v>63</v>
      </c>
      <c r="AY62" s="79"/>
      <c r="AZ62" s="82"/>
      <c r="BA62" s="82"/>
      <c r="BB62" s="82"/>
      <c r="BC62" s="82"/>
      <c r="BD62" s="82"/>
      <c r="BE62" s="82"/>
      <c r="BF62" s="82"/>
      <c r="BG62" s="82"/>
      <c r="BH62" s="82"/>
      <c r="BI62" s="82"/>
      <c r="BJ62" s="82"/>
      <c r="BK62" s="79"/>
      <c r="BL62" s="38"/>
    </row>
    <row r="63" spans="42:64" ht="12.75">
      <c r="AP63" s="38"/>
      <c r="AQ63" s="88"/>
      <c r="AR63" s="82"/>
      <c r="AS63" s="88">
        <f>IF(Anschließer!S21&gt;0,Anschließer!S21,0)</f>
        <v>1.25</v>
      </c>
      <c r="AT63" s="82" t="s">
        <v>63</v>
      </c>
      <c r="AU63" s="82">
        <f>IF(Anschließer!S21&lt;0,Anschließer!S21,0)</f>
        <v>0</v>
      </c>
      <c r="AV63" s="79"/>
      <c r="AW63" s="88">
        <f ca="1">TRUNC(RAND()*(S26*5))</f>
        <v>0</v>
      </c>
      <c r="AX63" s="82" t="s">
        <v>64</v>
      </c>
      <c r="AY63" s="79"/>
      <c r="AZ63" s="82"/>
      <c r="BA63" s="82"/>
      <c r="BB63" s="82"/>
      <c r="BC63" s="82"/>
      <c r="BD63" s="82"/>
      <c r="BE63" s="82"/>
      <c r="BF63" s="82"/>
      <c r="BG63" s="82"/>
      <c r="BH63" s="82"/>
      <c r="BI63" s="82"/>
      <c r="BJ63" s="82"/>
      <c r="BK63" s="79"/>
      <c r="BL63" s="38"/>
    </row>
    <row r="64" spans="3:64" ht="12.75">
      <c r="C64" s="127"/>
      <c r="D64"/>
      <c r="E64"/>
      <c r="F64"/>
      <c r="G64"/>
      <c r="H64" s="227"/>
      <c r="AP64" s="38"/>
      <c r="AQ64" s="88"/>
      <c r="AR64" s="82"/>
      <c r="AS64" s="88">
        <f>IF(Anschließer!S28&gt;0,Anschließer!S28,0)</f>
        <v>0</v>
      </c>
      <c r="AT64" s="82" t="s">
        <v>64</v>
      </c>
      <c r="AU64" s="82">
        <f>IF(Anschließer!S28&lt;0,Anschließer!S28,0)</f>
        <v>0</v>
      </c>
      <c r="AV64" s="79"/>
      <c r="AW64" s="88">
        <f>SUM(AW58:AW63)</f>
        <v>18</v>
      </c>
      <c r="AX64" s="82">
        <f>IF(AW64&gt;80,"Wert nicht über 80","")</f>
      </c>
      <c r="AY64" s="79"/>
      <c r="AZ64" s="82"/>
      <c r="BA64" s="82"/>
      <c r="BB64" s="82"/>
      <c r="BC64" s="82"/>
      <c r="BD64" s="82"/>
      <c r="BE64" s="82"/>
      <c r="BF64" s="82"/>
      <c r="BG64" s="82"/>
      <c r="BH64" s="82"/>
      <c r="BI64" s="82"/>
      <c r="BJ64" s="82"/>
      <c r="BK64" s="79"/>
      <c r="BL64" s="38"/>
    </row>
    <row r="65" spans="4:64" ht="12.75">
      <c r="D65"/>
      <c r="E65"/>
      <c r="F65"/>
      <c r="G65"/>
      <c r="H65" s="227"/>
      <c r="AP65" s="38"/>
      <c r="AQ65" s="88"/>
      <c r="AR65" s="82"/>
      <c r="AS65" s="88">
        <f>IF(Anschließer!S36&gt;0,Anschließer!S36,0)</f>
        <v>0.5</v>
      </c>
      <c r="AT65" s="82" t="s">
        <v>31</v>
      </c>
      <c r="AU65" s="82">
        <f>IF(Anschließer!S36&lt;0,Anschließer!S36,0)</f>
        <v>0</v>
      </c>
      <c r="AV65" s="79"/>
      <c r="AW65" s="90"/>
      <c r="AX65" s="91"/>
      <c r="AY65" s="92"/>
      <c r="AZ65" s="82"/>
      <c r="BA65" s="82"/>
      <c r="BB65" s="82"/>
      <c r="BC65" s="82"/>
      <c r="BD65" s="82"/>
      <c r="BE65" s="82"/>
      <c r="BF65" s="82"/>
      <c r="BG65" s="82"/>
      <c r="BH65" s="82"/>
      <c r="BI65" s="82"/>
      <c r="BJ65" s="82"/>
      <c r="BK65" s="79"/>
      <c r="BL65" s="38"/>
    </row>
    <row r="66" spans="4:64" ht="12.75">
      <c r="D66"/>
      <c r="E66"/>
      <c r="F66"/>
      <c r="G66"/>
      <c r="H66" s="227"/>
      <c r="AP66" s="38"/>
      <c r="AQ66" s="88"/>
      <c r="AR66" s="82"/>
      <c r="AS66" s="90">
        <f>SUM(AS60:AS65)</f>
        <v>2.875</v>
      </c>
      <c r="AT66" s="91" t="s">
        <v>65</v>
      </c>
      <c r="AU66" s="91">
        <f>SUM(AU60:AU65)</f>
        <v>-1.25</v>
      </c>
      <c r="AV66" s="92"/>
      <c r="AW66" s="82"/>
      <c r="AX66" s="82"/>
      <c r="AY66" s="82"/>
      <c r="AZ66" s="82"/>
      <c r="BA66" s="82"/>
      <c r="BB66" s="82"/>
      <c r="BC66" s="82"/>
      <c r="BD66" s="82"/>
      <c r="BE66" s="82"/>
      <c r="BF66" s="82"/>
      <c r="BG66" s="82"/>
      <c r="BH66" s="82"/>
      <c r="BI66" s="82"/>
      <c r="BJ66" s="82"/>
      <c r="BK66" s="79"/>
      <c r="BL66" s="38"/>
    </row>
    <row r="67" spans="4:64" ht="12.75">
      <c r="D67"/>
      <c r="E67"/>
      <c r="F67"/>
      <c r="G67"/>
      <c r="H67" s="227"/>
      <c r="AP67" s="38"/>
      <c r="AQ67" s="90"/>
      <c r="AR67" s="91"/>
      <c r="AS67" s="91"/>
      <c r="AT67" s="91"/>
      <c r="AU67" s="91"/>
      <c r="AV67" s="91"/>
      <c r="AW67" s="91"/>
      <c r="AX67" s="91"/>
      <c r="AY67" s="91"/>
      <c r="AZ67" s="91"/>
      <c r="BA67" s="91"/>
      <c r="BB67" s="91"/>
      <c r="BC67" s="91"/>
      <c r="BD67" s="91"/>
      <c r="BE67" s="91"/>
      <c r="BF67" s="91"/>
      <c r="BG67" s="91"/>
      <c r="BH67" s="91"/>
      <c r="BI67" s="91"/>
      <c r="BJ67" s="91"/>
      <c r="BK67" s="92"/>
      <c r="BL67" s="38"/>
    </row>
    <row r="68" spans="4:64" ht="12.75">
      <c r="D68"/>
      <c r="E68"/>
      <c r="F68"/>
      <c r="G68"/>
      <c r="H68" s="227"/>
      <c r="AP68" s="38"/>
      <c r="AQ68" s="38"/>
      <c r="AR68" s="38"/>
      <c r="AS68" s="38"/>
      <c r="AT68" s="38"/>
      <c r="AU68" s="38"/>
      <c r="AV68" s="38"/>
      <c r="AW68" s="38"/>
      <c r="AX68" s="38"/>
      <c r="AY68" s="38"/>
      <c r="AZ68" s="38"/>
      <c r="BA68" s="38"/>
      <c r="BB68" s="38"/>
      <c r="BC68" s="38"/>
      <c r="BD68" s="38"/>
      <c r="BE68" s="38"/>
      <c r="BF68" s="38"/>
      <c r="BG68" s="38"/>
      <c r="BH68" s="38"/>
      <c r="BI68" s="38"/>
      <c r="BJ68" s="82"/>
      <c r="BK68" s="38"/>
      <c r="BL68" s="38"/>
    </row>
    <row r="69" spans="42:64" ht="12.75">
      <c r="AP69" s="38"/>
      <c r="AQ69" s="38"/>
      <c r="AR69" s="38"/>
      <c r="AS69" s="38"/>
      <c r="AT69" s="38"/>
      <c r="AU69" s="38"/>
      <c r="AV69" s="38"/>
      <c r="AW69" s="38"/>
      <c r="AX69" s="38"/>
      <c r="AY69" s="38"/>
      <c r="AZ69" s="38"/>
      <c r="BA69" s="38"/>
      <c r="BB69" s="38"/>
      <c r="BC69" s="38"/>
      <c r="BD69" s="38"/>
      <c r="BE69" s="38"/>
      <c r="BF69" s="38"/>
      <c r="BG69" s="38"/>
      <c r="BH69" s="38"/>
      <c r="BI69" s="38"/>
      <c r="BJ69" s="82"/>
      <c r="BK69" s="38"/>
      <c r="BL69" s="38"/>
    </row>
    <row r="78" spans="5:10" ht="15">
      <c r="E78" s="333" t="s">
        <v>91</v>
      </c>
      <c r="F78" s="334"/>
      <c r="G78" s="334"/>
      <c r="H78" s="334"/>
      <c r="I78" s="334"/>
      <c r="J78" s="335"/>
    </row>
    <row r="79" spans="5:10" ht="15">
      <c r="E79" s="159"/>
      <c r="F79" s="160"/>
      <c r="G79" s="121"/>
      <c r="H79" s="228"/>
      <c r="I79" s="121"/>
      <c r="J79" s="125"/>
    </row>
    <row r="80" spans="5:10" ht="15">
      <c r="E80" s="341" t="s">
        <v>26</v>
      </c>
      <c r="F80" s="346"/>
      <c r="G80" s="344" t="str">
        <f>"Empfang von "&amp;ROUNDDOWN(G34*20,0)&amp;" Kesselwagen"</f>
        <v>Empfang von 0 Kesselwagen</v>
      </c>
      <c r="H80" s="344"/>
      <c r="I80" s="344"/>
      <c r="J80" s="125"/>
    </row>
    <row r="81" spans="5:10" ht="15">
      <c r="E81" s="341" t="s">
        <v>80</v>
      </c>
      <c r="F81" s="343"/>
      <c r="G81" s="344" t="str">
        <f>"Empfang von "&amp;ROUNDDOWN(G36*20,0)&amp;" Kesselwagen"</f>
        <v>Empfang von 0 Kesselwagen</v>
      </c>
      <c r="H81" s="344"/>
      <c r="I81" s="344"/>
      <c r="J81" s="125"/>
    </row>
    <row r="82" spans="5:10" ht="15">
      <c r="E82" s="347" t="s">
        <v>28</v>
      </c>
      <c r="F82" s="348"/>
      <c r="G82" s="345" t="str">
        <f>"Empfang von "&amp;ROUNDDOWN(G38*20,0)&amp;" Kesselwagen"</f>
        <v>Empfang von 0 Kesselwagen</v>
      </c>
      <c r="H82" s="345"/>
      <c r="I82" s="345"/>
      <c r="J82" s="158"/>
    </row>
    <row r="83" spans="5:10" ht="15">
      <c r="E83" s="341" t="s">
        <v>90</v>
      </c>
      <c r="F83" s="342"/>
      <c r="G83" s="336" t="str">
        <f>"Versand von ca. "&amp;F40*20*90&amp;" Kubikmeter Schaumstoff in "&amp;F40*20&amp;" geschlossenen Güterwagen"</f>
        <v>Versand von ca. 0 Kubikmeter Schaumstoff in 0 geschlossenen Güterwagen</v>
      </c>
      <c r="H83" s="336"/>
      <c r="I83" s="337"/>
      <c r="J83" s="338"/>
    </row>
    <row r="84" spans="5:10" ht="15">
      <c r="E84" s="162" t="s">
        <v>107</v>
      </c>
      <c r="F84" s="151"/>
      <c r="G84" s="336"/>
      <c r="H84" s="336"/>
      <c r="I84" s="337"/>
      <c r="J84" s="338"/>
    </row>
    <row r="85" spans="5:10" ht="15">
      <c r="E85" s="126"/>
      <c r="F85" s="161"/>
      <c r="G85" s="339"/>
      <c r="H85" s="339"/>
      <c r="I85" s="339"/>
      <c r="J85" s="340"/>
    </row>
    <row r="98" ht="15" customHeight="1"/>
    <row r="99" ht="15" customHeight="1"/>
    <row r="100" ht="15" customHeight="1"/>
    <row r="101" ht="15" customHeight="1"/>
    <row r="102" ht="15" customHeight="1"/>
    <row r="103" spans="35:37" ht="12.75">
      <c r="AI103" s="20"/>
      <c r="AJ103" s="20"/>
      <c r="AK103" s="20"/>
    </row>
  </sheetData>
  <mergeCells count="76">
    <mergeCell ref="G83:J85"/>
    <mergeCell ref="E83:F83"/>
    <mergeCell ref="E81:F81"/>
    <mergeCell ref="G80:I80"/>
    <mergeCell ref="G82:I82"/>
    <mergeCell ref="G81:I81"/>
    <mergeCell ref="E80:F80"/>
    <mergeCell ref="E82:F82"/>
    <mergeCell ref="AA24:AB24"/>
    <mergeCell ref="D21:D22"/>
    <mergeCell ref="E20:E21"/>
    <mergeCell ref="E78:J78"/>
    <mergeCell ref="J34:J35"/>
    <mergeCell ref="AE22:AH22"/>
    <mergeCell ref="J20:J21"/>
    <mergeCell ref="D25:D26"/>
    <mergeCell ref="X22:AD22"/>
    <mergeCell ref="X34:AD34"/>
    <mergeCell ref="AA25:AB25"/>
    <mergeCell ref="AA26:AB26"/>
    <mergeCell ref="D23:D24"/>
    <mergeCell ref="AA23:AB23"/>
    <mergeCell ref="AE23:AH23"/>
    <mergeCell ref="AE24:AH24"/>
    <mergeCell ref="AE25:AJ26"/>
    <mergeCell ref="AG16:AH16"/>
    <mergeCell ref="E40:E41"/>
    <mergeCell ref="I20:I21"/>
    <mergeCell ref="AI16:AJ16"/>
    <mergeCell ref="Y28:Z28"/>
    <mergeCell ref="AA28:AB28"/>
    <mergeCell ref="AC28:AD28"/>
    <mergeCell ref="AE28:AF28"/>
    <mergeCell ref="AG28:AH28"/>
    <mergeCell ref="AI28:AJ28"/>
    <mergeCell ref="AE16:AF16"/>
    <mergeCell ref="G34:G35"/>
    <mergeCell ref="J40:J41"/>
    <mergeCell ref="D35:D36"/>
    <mergeCell ref="F38:F39"/>
    <mergeCell ref="I38:I39"/>
    <mergeCell ref="G38:G39"/>
    <mergeCell ref="I34:I35"/>
    <mergeCell ref="I36:I37"/>
    <mergeCell ref="D38:D41"/>
    <mergeCell ref="E38:E39"/>
    <mergeCell ref="E36:E37"/>
    <mergeCell ref="F36:F37"/>
    <mergeCell ref="G36:G37"/>
    <mergeCell ref="AC16:AD16"/>
    <mergeCell ref="H20:H22"/>
    <mergeCell ref="H23:H32"/>
    <mergeCell ref="H34:H41"/>
    <mergeCell ref="I40:I41"/>
    <mergeCell ref="G40:G41"/>
    <mergeCell ref="F34:F35"/>
    <mergeCell ref="C20:C22"/>
    <mergeCell ref="L38:N38"/>
    <mergeCell ref="Y16:Z16"/>
    <mergeCell ref="AA16:AB16"/>
    <mergeCell ref="C23:C32"/>
    <mergeCell ref="C17:C18"/>
    <mergeCell ref="D17:D18"/>
    <mergeCell ref="E17:E18"/>
    <mergeCell ref="I17:I18"/>
    <mergeCell ref="H17:H18"/>
    <mergeCell ref="C42:E42"/>
    <mergeCell ref="I42:J42"/>
    <mergeCell ref="C16:J16"/>
    <mergeCell ref="F20:F21"/>
    <mergeCell ref="F17:F18"/>
    <mergeCell ref="G17:G18"/>
    <mergeCell ref="G20:G21"/>
    <mergeCell ref="J38:J39"/>
    <mergeCell ref="E34:E35"/>
    <mergeCell ref="J36:J37"/>
  </mergeCells>
  <dataValidations count="11">
    <dataValidation type="decimal" allowBlank="1" showInputMessage="1" showErrorMessage="1" error="Nur Werte zwichen 0 und 50 " sqref="F19 H23:H33 G19:G33 H19:H20 F22:F33">
      <formula1>0</formula1>
      <formula2>50</formula2>
    </dataValidation>
    <dataValidation type="decimal" allowBlank="1" showInputMessage="1" showErrorMessage="1" error="Nur Werte zwichen 0 und 50" sqref="F44:H49 F34:F39 G34:G40 H34">
      <formula1>0</formula1>
      <formula2>50</formula2>
    </dataValidation>
    <dataValidation type="custom" allowBlank="1" showInputMessage="1" showErrorMessage="1" sqref="F12">
      <formula1>"&lt;&gt;0"</formula1>
    </dataValidation>
    <dataValidation type="custom" allowBlank="1" showInputMessage="1" showErrorMessage="1" error="Nur Wagengattung &quot; G; S; R; O; Z und versch.&quot; zugelassen!" sqref="J19:J33">
      <formula1>BJ17</formula1>
    </dataValidation>
    <dataValidation allowBlank="1" showInputMessage="1" showErrorMessage="1" error="Nur Werte zwichen 0 und 50" sqref="F41"/>
    <dataValidation type="whole" allowBlank="1" showInputMessage="1" showErrorMessage="1" error="Nur Werte zwichen 0 und 64&#10;" sqref="F40">
      <formula1>0</formula1>
      <formula2>64</formula2>
    </dataValidation>
    <dataValidation type="decimal" allowBlank="1" showInputMessage="1" showErrorMessage="1" error="Nur Werte zwichen 0 und 40&#10;" sqref="F20">
      <formula1>0</formula1>
      <formula2>48</formula2>
    </dataValidation>
    <dataValidation type="custom" allowBlank="1" showInputMessage="1" showErrorMessage="1" error="Nur Wagengattung &quot; G; S; R; O; Z und versch.&quot; zugelassen!" sqref="J34:J35">
      <formula1>BJ34</formula1>
    </dataValidation>
    <dataValidation type="custom" allowBlank="1" showInputMessage="1" showErrorMessage="1" error="Nur Wagengattung &quot; G; S; R; O; Z und versch.&quot; zugelassen!" sqref="J36:J37">
      <formula1>BJ38</formula1>
    </dataValidation>
    <dataValidation type="custom" allowBlank="1" showInputMessage="1" showErrorMessage="1" error="Nur Wagengattung &quot; G; S; R; O; Z und versch.&quot; zugelassen!" sqref="J38:J39">
      <formula1>BJ42</formula1>
    </dataValidation>
    <dataValidation type="custom" allowBlank="1" showInputMessage="1" showErrorMessage="1" error="Nur Wagengattung &quot; G; S; R; O; Z und versch.&quot; zugelassen!" sqref="J40:J41 J44:J49">
      <formula1>BJ46</formula1>
    </dataValidation>
  </dataValidations>
  <printOptions horizontalCentered="1"/>
  <pageMargins left="0.8661417322834646" right="0.5118110236220472" top="0.87" bottom="0.38" header="0.43" footer="0.56"/>
  <pageSetup horizontalDpi="300" verticalDpi="300" orientation="portrait" paperSize="9" scale="93" r:id="rId2"/>
  <headerFooter alignWithMargins="0">
    <oddHeader>&amp;C&amp;"Times New Roman,Kursiv"Regionaltreffen Bad Oeynhausen 2002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 Pabst</dc:creator>
  <cp:keywords/>
  <dc:description/>
  <cp:lastModifiedBy>R. Pabst</cp:lastModifiedBy>
  <cp:lastPrinted>2004-03-03T19:39:58Z</cp:lastPrinted>
  <dcterms:created xsi:type="dcterms:W3CDTF">2000-09-19T06:38:49Z</dcterms:created>
  <dcterms:modified xsi:type="dcterms:W3CDTF">2004-03-03T19:40:28Z</dcterms:modified>
  <cp:category/>
  <cp:version/>
  <cp:contentType/>
  <cp:contentStatus/>
</cp:coreProperties>
</file>